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24226"/>
  <mc:AlternateContent xmlns:mc="http://schemas.openxmlformats.org/markup-compatibility/2006">
    <mc:Choice Requires="x15">
      <x15ac:absPath xmlns:x15ac="http://schemas.microsoft.com/office/spreadsheetml/2010/11/ac" url="D:\Desktop\OCI CRG\OCI 2022\PAAC 2022\Informe Final PAAC mayo 2022\"/>
    </mc:Choice>
  </mc:AlternateContent>
  <xr:revisionPtr revIDLastSave="0" documentId="8_{23198FE4-6A62-4E51-82A7-E13AF10FC8A3}" xr6:coauthVersionLast="47" xr6:coauthVersionMax="47" xr10:uidLastSave="{00000000-0000-0000-0000-000000000000}"/>
  <bookViews>
    <workbookView xWindow="-108" yWindow="-108" windowWidth="23256" windowHeight="12456" tabRatio="882" xr2:uid="{00000000-000D-0000-FFFF-FFFF00000000}"/>
  </bookViews>
  <sheets>
    <sheet name="RIESGOS DE CORRUPCIÒN" sheetId="23" r:id="rId1"/>
    <sheet name="Criterios" sheetId="19" r:id="rId2"/>
    <sheet name="Matriz Calor " sheetId="18" r:id="rId3"/>
    <sheet name="Tabla probabilidad" sheetId="12" state="hidden" r:id="rId4"/>
    <sheet name="Tabla Impacto" sheetId="13" state="hidden" r:id="rId5"/>
    <sheet name="Tabla Valoración controles" sheetId="15" state="hidden" r:id="rId6"/>
    <sheet name="Opciones Tratamiento" sheetId="16" state="hidden" r:id="rId7"/>
    <sheet name="Hoja1" sheetId="1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calcPr calcId="191029"/>
  <pivotCaches>
    <pivotCache cacheId="0" r:id="rId25"/>
  </pivotCaches>
</workbook>
</file>

<file path=xl/calcChain.xml><?xml version="1.0" encoding="utf-8"?>
<calcChain xmlns="http://schemas.openxmlformats.org/spreadsheetml/2006/main">
  <c r="AN36" i="23" l="1"/>
  <c r="AK36" i="23"/>
  <c r="AJ36" i="23"/>
  <c r="AB36" i="23"/>
  <c r="K36" i="23"/>
  <c r="J36" i="23" s="1"/>
  <c r="L36" i="23" s="1"/>
  <c r="AN34" i="23" l="1"/>
  <c r="AE34" i="23"/>
  <c r="AB34" i="23"/>
  <c r="K34" i="23"/>
  <c r="J34" i="23" s="1"/>
  <c r="L34" i="23" s="1"/>
  <c r="AB33" i="23" l="1"/>
  <c r="AN32" i="23"/>
  <c r="AB32" i="23"/>
  <c r="K32" i="23"/>
  <c r="J32" i="23" s="1"/>
  <c r="L32" i="23" s="1"/>
  <c r="AN31" i="23"/>
  <c r="AB31" i="23"/>
  <c r="AC31" i="23" s="1"/>
  <c r="K31" i="23"/>
  <c r="J31" i="23" s="1"/>
  <c r="L31" i="23" s="1"/>
  <c r="AB30" i="23"/>
  <c r="AN29" i="23"/>
  <c r="AB29" i="23"/>
  <c r="AC29" i="23" s="1"/>
  <c r="K29" i="23"/>
  <c r="J29" i="23" s="1"/>
  <c r="L29" i="23" s="1"/>
  <c r="AN28" i="23"/>
  <c r="AB28" i="23"/>
  <c r="AC28" i="23" s="1"/>
  <c r="K28" i="23"/>
  <c r="J28" i="23" s="1"/>
  <c r="L28" i="23" s="1"/>
  <c r="AC32" i="23"/>
  <c r="AC33" i="23"/>
  <c r="AE31" i="23" l="1"/>
  <c r="AE28" i="23"/>
  <c r="AE33" i="23"/>
  <c r="AE29" i="23"/>
  <c r="AE32" i="23"/>
  <c r="AF31" i="23"/>
  <c r="AF28" i="23"/>
  <c r="AF33" i="23"/>
  <c r="AF32" i="23"/>
  <c r="AF29" i="23"/>
  <c r="AE27" i="23" l="1"/>
  <c r="AB27" i="23"/>
  <c r="J27" i="23"/>
  <c r="AE26" i="23"/>
  <c r="AB26" i="23"/>
  <c r="J26" i="23"/>
  <c r="AE25" i="23"/>
  <c r="AB25" i="23"/>
  <c r="J25" i="23"/>
  <c r="AE24" i="23"/>
  <c r="AB24" i="23"/>
  <c r="K24" i="23"/>
  <c r="J24" i="23" s="1"/>
  <c r="L24" i="23" s="1"/>
  <c r="AG31" i="23"/>
  <c r="AG28" i="23"/>
  <c r="AG32" i="23"/>
  <c r="AG29" i="23"/>
  <c r="AK31" i="23" l="1"/>
  <c r="AK28" i="23"/>
  <c r="AJ28" i="23"/>
  <c r="AK23" i="23"/>
  <c r="AE23" i="23"/>
  <c r="AB23" i="23"/>
  <c r="K23" i="23"/>
  <c r="J23" i="23" s="1"/>
  <c r="AN22" i="23" l="1"/>
  <c r="AK22" i="23"/>
  <c r="AJ22" i="23"/>
  <c r="AB22" i="23"/>
  <c r="K22" i="23"/>
  <c r="J22" i="23" s="1"/>
  <c r="L22" i="23" s="1"/>
  <c r="AN21" i="23" l="1"/>
  <c r="AB21" i="23"/>
  <c r="K21" i="23"/>
  <c r="J21" i="23" s="1"/>
  <c r="L21" i="23" s="1"/>
  <c r="AN20" i="23"/>
  <c r="AB20" i="23"/>
  <c r="AC20" i="23" s="1"/>
  <c r="K20" i="23"/>
  <c r="J20" i="23" s="1"/>
  <c r="L20" i="23" s="1"/>
  <c r="AE20" i="23" l="1"/>
  <c r="AF20" i="23" s="1"/>
  <c r="AB19" i="23" l="1"/>
  <c r="K19" i="23"/>
  <c r="J19" i="23" s="1"/>
  <c r="L19" i="23" s="1"/>
  <c r="AG20" i="23"/>
  <c r="AK20" i="23" l="1"/>
  <c r="AJ20" i="23"/>
  <c r="AN18" i="23"/>
  <c r="AJ18" i="23"/>
  <c r="AE18" i="23"/>
  <c r="AB18" i="23"/>
  <c r="K18" i="23"/>
  <c r="J18" i="23" s="1"/>
  <c r="L18" i="23" s="1"/>
  <c r="AN16" i="23"/>
  <c r="K16" i="23"/>
  <c r="J16" i="23" s="1"/>
  <c r="AN15" i="23"/>
  <c r="AJ15" i="23"/>
  <c r="AE15" i="23"/>
  <c r="AB15" i="23"/>
  <c r="K15" i="23"/>
  <c r="J15" i="23" s="1"/>
  <c r="L15" i="23" s="1"/>
  <c r="AB14" i="23" l="1"/>
  <c r="AN13" i="23"/>
  <c r="AE13" i="23"/>
  <c r="AB13" i="23"/>
  <c r="K13" i="23"/>
  <c r="J13" i="23" s="1"/>
  <c r="L13" i="23" s="1"/>
  <c r="AK12" i="23"/>
  <c r="AJ12" i="23"/>
  <c r="AE12" i="23"/>
  <c r="AB12" i="23"/>
  <c r="AN11" i="23"/>
  <c r="AK11" i="23"/>
  <c r="AJ11" i="23"/>
  <c r="AE11" i="23"/>
  <c r="AB11" i="23"/>
  <c r="K11" i="23"/>
  <c r="J11" i="23" s="1"/>
  <c r="L11" i="23" s="1"/>
  <c r="AB10" i="23"/>
  <c r="AN9" i="23"/>
  <c r="AB9" i="23"/>
  <c r="AC9" i="23" s="1"/>
  <c r="K9" i="23"/>
  <c r="J9" i="23" s="1"/>
  <c r="L9" i="23" s="1"/>
  <c r="AC10" i="23"/>
  <c r="AE9" i="23" l="1"/>
  <c r="AF9" i="23" s="1"/>
  <c r="AE10" i="23"/>
  <c r="AF10" i="23" s="1"/>
  <c r="AN8" i="23" l="1"/>
  <c r="AK8" i="23"/>
  <c r="AJ8" i="23"/>
  <c r="AE8" i="23"/>
  <c r="AB8" i="23"/>
  <c r="K8" i="23"/>
  <c r="J8" i="23" s="1"/>
  <c r="L8" i="23" s="1"/>
  <c r="AG9" i="23"/>
  <c r="AK9" i="23" l="1"/>
  <c r="AJ10" i="23"/>
  <c r="AK10" i="23"/>
  <c r="AJ9" i="23"/>
  <c r="AN7" i="23"/>
  <c r="AE7" i="23"/>
  <c r="AB7" i="23"/>
  <c r="K7" i="23"/>
  <c r="J7" i="23" s="1"/>
  <c r="L7" i="23" s="1"/>
  <c r="AN6" i="23"/>
  <c r="AE6" i="23"/>
  <c r="AB6" i="23"/>
  <c r="K6" i="23"/>
  <c r="J6" i="23" s="1"/>
  <c r="L6" i="23" s="1"/>
  <c r="AE5" i="23" l="1"/>
  <c r="AN3" i="23"/>
  <c r="AE3" i="23"/>
  <c r="K3" i="23"/>
  <c r="J3" i="23" s="1"/>
  <c r="L3" i="23" s="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B223" i="13" l="1"/>
  <c r="B222" i="13"/>
  <c r="AH38" i="18" l="1"/>
  <c r="P22" i="18"/>
  <c r="V14" i="18"/>
  <c r="J14" i="18"/>
  <c r="V30" i="18"/>
  <c r="J30" i="18"/>
  <c r="AH30" i="18"/>
  <c r="J38" i="18"/>
  <c r="V6" i="18"/>
  <c r="P6" i="18"/>
  <c r="AB30" i="18"/>
  <c r="J22" i="18"/>
  <c r="J6" i="18"/>
  <c r="AH6" i="18"/>
  <c r="P14" i="18"/>
  <c r="AB38" i="18"/>
  <c r="P38" i="18"/>
  <c r="V22" i="18"/>
  <c r="V38" i="18"/>
  <c r="AH14" i="18"/>
  <c r="AB22" i="18"/>
  <c r="AB14" i="18"/>
  <c r="AB6" i="18"/>
  <c r="P30" i="18"/>
  <c r="AH22" i="18"/>
  <c r="AJ30" i="18"/>
  <c r="L6" i="18"/>
  <c r="X22" i="18"/>
  <c r="L30" i="18"/>
  <c r="AJ14" i="18"/>
  <c r="AD30" i="18"/>
  <c r="AJ22" i="18"/>
  <c r="L38" i="18"/>
  <c r="X38" i="18"/>
  <c r="AD6" i="18"/>
  <c r="L22" i="18"/>
  <c r="X14" i="18"/>
  <c r="X6" i="18"/>
  <c r="R22" i="18"/>
  <c r="R30" i="18"/>
  <c r="AD38" i="18"/>
  <c r="AD22" i="18"/>
  <c r="R38" i="18"/>
  <c r="X30" i="18"/>
  <c r="AJ38" i="18"/>
  <c r="AJ6" i="18"/>
  <c r="AD14" i="18"/>
  <c r="L14" i="18"/>
  <c r="R14" i="18"/>
  <c r="R6" i="18"/>
  <c r="H210" i="13"/>
</calcChain>
</file>

<file path=xl/sharedStrings.xml><?xml version="1.0" encoding="utf-8"?>
<sst xmlns="http://schemas.openxmlformats.org/spreadsheetml/2006/main" count="1046" uniqueCount="646">
  <si>
    <t>Impacto</t>
  </si>
  <si>
    <t>Probabilidad</t>
  </si>
  <si>
    <t>Alta</t>
  </si>
  <si>
    <t>Mayor</t>
  </si>
  <si>
    <t>Manual</t>
  </si>
  <si>
    <t>Automático</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</si>
  <si>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</si>
  <si>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</si>
  <si>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</si>
  <si>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</si>
  <si>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</si>
  <si>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</si>
  <si>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</si>
  <si>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</si>
  <si>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</si>
  <si>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</si>
  <si>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</si>
  <si>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</si>
  <si>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</si>
  <si>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</si>
  <si>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</si>
  <si>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Reducir</t>
  </si>
  <si>
    <t>Aceptar</t>
  </si>
  <si>
    <t>Evitar</t>
  </si>
  <si>
    <t>Finalizado</t>
  </si>
  <si>
    <t>En curso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</si>
  <si>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</si>
  <si>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</si>
  <si>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</si>
  <si>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</si>
  <si>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</si>
  <si>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</si>
  <si>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</si>
  <si>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</si>
  <si>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</si>
  <si>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</si>
  <si>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</si>
  <si>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</si>
  <si>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</si>
  <si>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</si>
  <si>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</si>
  <si>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</si>
  <si>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</si>
  <si>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</si>
  <si>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</si>
  <si>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</si>
  <si>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</si>
  <si>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</si>
  <si>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</si>
  <si>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</si>
  <si>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</si>
  <si>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</si>
  <si>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</si>
  <si>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</si>
  <si>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</si>
  <si>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</si>
  <si>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</si>
  <si>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</si>
  <si>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</si>
  <si>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</si>
  <si>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</si>
  <si>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</si>
  <si>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</si>
  <si>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</si>
  <si>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</si>
  <si>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</si>
  <si>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</si>
  <si>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</si>
  <si>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</si>
  <si>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</si>
  <si>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</si>
  <si>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</si>
  <si>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</si>
  <si>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</si>
  <si>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</si>
  <si>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</si>
  <si>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</si>
  <si>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</si>
  <si>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</si>
  <si>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</si>
  <si>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</si>
  <si>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</si>
  <si>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</si>
  <si>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</si>
  <si>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</si>
  <si>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</si>
  <si>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</si>
  <si>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</si>
  <si>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</si>
  <si>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</si>
  <si>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</si>
  <si>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</si>
  <si>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</si>
  <si>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</si>
  <si>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</si>
  <si>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</si>
  <si>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</si>
  <si>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</si>
  <si>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</si>
  <si>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</si>
  <si>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</si>
  <si>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</si>
  <si>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</si>
  <si>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</si>
  <si>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</si>
  <si>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</si>
  <si>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</si>
  <si>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</si>
  <si>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</si>
  <si>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</si>
  <si>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</si>
  <si>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</si>
  <si>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</si>
  <si>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</si>
  <si>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</si>
  <si>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</si>
  <si>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</si>
  <si>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</si>
  <si>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</si>
  <si>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</si>
  <si>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</si>
  <si>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</si>
  <si>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</si>
  <si>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</si>
  <si>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</si>
  <si>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</si>
  <si>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Jefe Oficina de Control Interno</t>
  </si>
  <si>
    <t>ORIGEN</t>
  </si>
  <si>
    <t>DEBIDO A 
(Causa(s))</t>
  </si>
  <si>
    <t>PUEDE SUCEDER  QUE
(Riesgo)</t>
  </si>
  <si>
    <t xml:space="preserve">QUE PODRÍA OCASIONAR (Consecuencia(s))
</t>
  </si>
  <si>
    <t>PROBABILIDAD
5:  Casi seguro
4: Probable
3: Posible 
2: Improbable 
1: Raro</t>
  </si>
  <si>
    <t>IMPACTO
Ver pestaña "Criterios de impacto"
5: Catastrófico
4: Mayor
3: Moderado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</si>
  <si>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</si>
  <si>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</si>
  <si>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</si>
  <si>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</si>
  <si>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</si>
  <si>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</si>
  <si>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</si>
  <si>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</si>
  <si>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</si>
  <si>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</si>
  <si>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</si>
  <si>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</si>
  <si>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</si>
  <si>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</si>
  <si>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</si>
  <si>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</si>
  <si>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</si>
  <si>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</si>
  <si>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</si>
  <si>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</si>
  <si>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</si>
  <si>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</si>
  <si>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</si>
  <si>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</si>
  <si>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</si>
  <si>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</si>
  <si>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</si>
  <si>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</si>
  <si>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</si>
  <si>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ACCIÓN</t>
  </si>
  <si>
    <t>RESPONSABLE</t>
  </si>
  <si>
    <t>FECHA LÍMITE PARA EL CUMPLIMIENTO DE LA ACCIÓN</t>
  </si>
  <si>
    <t>INDICADOR</t>
  </si>
  <si>
    <t>RECURSOS 
Económico, Humano y/o Logístico</t>
  </si>
  <si>
    <t xml:space="preserve">PLAN DE CONTINGENCIA </t>
  </si>
  <si>
    <t>Análisis de contexto de índole táctico</t>
  </si>
  <si>
    <t>Aceptación de dádivas ofrecidas por el evaluado u otros actores</t>
  </si>
  <si>
    <t>Omitir intencionalmente hechos presuntamente irregulares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</si>
  <si>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del Sistema de Control Interno Institucional.
Detrimento, pérdida y/o malversación de los recursos públicos.
Sanciones por parte de los entes de control.
Generación de informe con opiniones sesgadas o no objetivas. </t>
  </si>
  <si>
    <t>Raro (1)</t>
  </si>
  <si>
    <t>Semestral</t>
  </si>
  <si>
    <t>Verificar que cada auditor conozca el contenido del Código de Ética del Auditor Interno publicado en Isolucion</t>
  </si>
  <si>
    <t>A partir del Código de Ética del Auditor Interno se evalúa el conocimiento del mismo por parte del auditor y luego éste suscribe el Compromiso Ético del Auditor Interno.</t>
  </si>
  <si>
    <t xml:space="preserve">En caso que el auditor no conozca suficientemente el Código de Ética del Auditor Interno, éste deberá generar un plan de mejoramiento será sometida a una nueva prueba, para asegurar la apropiación del contenido del mismo.
</t>
  </si>
  <si>
    <t xml:space="preserve">Registro de la Prueba aplicada
Plan de mejoramiento (cuando aplique)
</t>
  </si>
  <si>
    <t>Fuerte</t>
  </si>
  <si>
    <t>MODERADO</t>
  </si>
  <si>
    <t>Directamente</t>
  </si>
  <si>
    <t>No Disminuye</t>
  </si>
  <si>
    <t>Moderado (3)</t>
  </si>
  <si>
    <t xml:space="preserve">
Verificar que los  equipos de auditoría se conformen con un número plural de auditores, ( preferiblemente impar) para promover control compartido sobre el desarrollo de la auditoría.</t>
  </si>
  <si>
    <t xml:space="preserve">31 de enero  de 2023 
</t>
  </si>
  <si>
    <t xml:space="preserve">Recurso humano: Funcionarios y personal contratista asignados a  la Oficina de Control Interno </t>
  </si>
  <si>
    <t xml:space="preserve">
En el momento que se detecte una situación de corrupción, se abordará al interior de la Oficina con el líder y convocar al comité para que se tome las decisiones y notificar a la Oficina de Control Disciplinario Interno así como a las autoridades competentes. </t>
  </si>
  <si>
    <t>No manifestar la existencia  o el surgimiento de conflicto de intereses para  la práctica de auditorias, evaluaciones y seguimientos</t>
  </si>
  <si>
    <t xml:space="preserve">Preventivo </t>
  </si>
  <si>
    <t xml:space="preserve">Al inicio del proceso auditor 
Durante el proceso auditor (cuando aplique) </t>
  </si>
  <si>
    <t>Verificar que cada auditor asignado a una auditoría interna de control interno, haya manifestado si está o no incurso en un conflicto de interés.</t>
  </si>
  <si>
    <t>Los auditores internos deben manifestar por escrito en el formato definido, si se encuentran o no incursos en algún conflicto de interés que afecte o pueda afectar su independencia y objetividad, el cual es verificado antes y durante el desarrollo de la auditoría.</t>
  </si>
  <si>
    <t>En caso de existir conflicto de intereses por parte de un auditor interno, se someterá a consideración del Comité Institucional de Coordinación de Control Interno - CICCI del IDRD, instancia responsable de conocer y resolver este asunto.</t>
  </si>
  <si>
    <t>Declaración de conflicto de intereses y compromiso ético firmada.
Acta en la que se verificó el tema.
Acta de Comité CICCI (cuando corresponda).</t>
  </si>
  <si>
    <t>Influencia sobre las auditorias o  evaluaciones  por parte de actores internos o externos al equipo auditor</t>
  </si>
  <si>
    <t>Mínimo 3 reuniones durante cada proceso auditor.</t>
  </si>
  <si>
    <t xml:space="preserve">Revisar el contexto , alcance y avance de la auditoría interna de control interno, en cuanto a cumplimiento de objetivos, ejecución de pruebas y calidad y pertinencia de las evidencias.
</t>
  </si>
  <si>
    <t>A través de mesas de trabajo, para el seguimiento al desarrollo de cada proceso auditor.</t>
  </si>
  <si>
    <t>En caso de evidenciarse influencia externa y/o interna sobre el proceso auditor, se suspenderá la auditoría, se evaluará por parte de la jefatura de la OCI y dependiendo de la situación se comunicará al CICCI para la toma de decisiones sobre el particular.</t>
  </si>
  <si>
    <t>Acta interna de seguimiento a la auditoría interna de control interno.
Acta de Comité CICCI (cuando aplique)</t>
  </si>
  <si>
    <t xml:space="preserve">PROCESO </t>
  </si>
  <si>
    <t>INTERNO</t>
  </si>
  <si>
    <t>EXTERNO</t>
  </si>
  <si>
    <t>TIPO</t>
  </si>
  <si>
    <t>Control, Evaluación y Seguimiento</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</si>
  <si>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</si>
  <si>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N/A</t>
  </si>
  <si>
    <t>Corrupción</t>
  </si>
  <si>
    <t>Diseño y Construcción de Parques y Escenarios</t>
  </si>
  <si>
    <t>Desempeño de los procesos: Capacidad humana, técnica y financiera de los procesos para lograr el cumplimiento de sus objetivos.
Aspecto Humano: Competencia del personal.</t>
  </si>
  <si>
    <t>Aprobación de actividades no previstas o mayores cantidades sin el cumplimiento de los requisitos internos para favorecer un tercero</t>
  </si>
  <si>
    <t>1. Procesos penales
2. Procesos fiscales
3. Procesos disciplinarios
4. Procesos de incumplimiento, aplicación de multas
5. Detrimento Patrimonial
6. Mayor gestión administrativa
7. Posibles retrasos en la ejecución contractual</t>
  </si>
  <si>
    <t>Improbable (2)</t>
  </si>
  <si>
    <t>Subdirector(a) Técnico(a) de Construcciones</t>
  </si>
  <si>
    <t xml:space="preserve">Supervisor y personal de apoyo a la supervisión
</t>
  </si>
  <si>
    <t>Cuando los proyectos de obra presenten solicitudes de aprobación de actividades No Previstas</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</si>
  <si>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</si>
  <si>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</si>
  <si>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</si>
  <si>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</si>
  <si>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Subdirector(a) Técnico(a) de Construcciones
Supervisor</t>
  </si>
  <si>
    <t>15 de diciembre de 2022</t>
  </si>
  <si>
    <t xml:space="preserve">
Aprobación de actividades no previstas o mayores cantidades sin el cumplimiento de los requisitos internos
Meta: 0
Frecuencia: mensual 
</t>
  </si>
  <si>
    <t>Recurso humano: Funcionarios y personal contratista  de la Subdirección Técnica de Construcciones financiados por  el  proyecto de inversión de la STC</t>
  </si>
  <si>
    <t>El ordenador del gasto inicia las acciones legales necesarias internas y externas que correspondan</t>
  </si>
  <si>
    <t xml:space="preserve">
No aplicación de los requisitos técnicos, juridicos, financieros y contables de la liquidación de los contratos de obra</t>
  </si>
  <si>
    <t>Liquidación de los contratos sin el cumplimiento u omisión de los requisitos técnicos jurídicos y financieros para favorecer a un tercero</t>
  </si>
  <si>
    <t>1. Procesos penales
2. Procesos fiscales
3. Procesos disciplinarios
4. Procesos de incumplimiento, aplicación de multas
5. Mayores costos del contrato
6. Caducidad del contrato</t>
  </si>
  <si>
    <t xml:space="preserve">Supervisor y
Personal de Apoyo a la Supervisión
Interventor
</t>
  </si>
  <si>
    <t>Por cada contrato terminado.</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</si>
  <si>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</si>
  <si>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</si>
  <si>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Se devuelve documentación con las observaciones al responsable  ( interventor y/o Contratista)  para que se subsane la inconsistencia. </t>
  </si>
  <si>
    <t xml:space="preserve">
Correos del supervisor a la interventoría con el resultado de las listas de chequeo
Comunicaciones oficiales.</t>
  </si>
  <si>
    <t>Comuniación oficial informando a la Interventoria los componetes a tener en cuenta para la liquidación de los contratos</t>
  </si>
  <si>
    <t xml:space="preserve">profesional ( abogado) 
Supervisor </t>
  </si>
  <si>
    <t>El ordenador del gasto realiza las acciones legales y administrativas a que haya lugar</t>
  </si>
  <si>
    <t>Gestión Documental</t>
  </si>
  <si>
    <t>Desempeño de los procesos: Capacidad humana, técnica y financiera de los procesos para lograr el cumplimiento de sus objetivos.</t>
  </si>
  <si>
    <t>Falta de seguimiento  al inventario  documental del FUID contra los expedientes físicos en el archivo central</t>
  </si>
  <si>
    <t>Pérdida de expedientes y/o sustracción de un documento en el archivo central para beneficio propio o de un tercero</t>
  </si>
  <si>
    <t>Investigaciones disciplinarias, penales y fiscales.                                             
Pérdida de la memoria institucional.                            Reprocesos y pérdidas económicas.                                       
Observaciones por parte de los entes de control.</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</si>
  <si>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</si>
  <si>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</si>
  <si>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</si>
  <si>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</si>
  <si>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</si>
  <si>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</si>
  <si>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Actualizar y realizar seguimiento al inventario general del archivo central cada vez que ingresa una transferencia.</t>
  </si>
  <si>
    <t>Responsable Área de Archivo y Correspondencia</t>
  </si>
  <si>
    <t>30 de noviembre 2022</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</si>
  <si>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</si>
  <si>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</si>
  <si>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</si>
  <si>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Gestión Financiera</t>
  </si>
  <si>
    <t>Desempeño de los procesos: Capacidad humana, técnica y financiera de los procesos para lograr el cumplimiento de sus objetivos</t>
  </si>
  <si>
    <t>Pagos a terceros no autorizados por el ordenador del gasto</t>
  </si>
  <si>
    <t xml:space="preserve">Desviación de los recursos públicos para beneficio particular </t>
  </si>
  <si>
    <t>Investigaciones y sanciones disciplinarias, fiscales y penales.
Detrimento patrimonial.</t>
  </si>
  <si>
    <t>Subdirector Administrativo y Financiero</t>
  </si>
  <si>
    <t xml:space="preserve">Tesorero General y responsable del área de presupuesto </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</si>
  <si>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</si>
  <si>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</si>
  <si>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</si>
  <si>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</si>
  <si>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 electronico avisando a la central de cuentas cuando existe inconsistencias  
</t>
  </si>
  <si>
    <t>Mayor (4)</t>
  </si>
  <si>
    <t xml:space="preserve">Responsable del Área Financiera </t>
  </si>
  <si>
    <t xml:space="preserve">15 de abril ( I trimestre ) 
15 de julio ( II trimestre) 
15 de octubre ( III trimestre ) 
15 de enero 2022 ( IV trimestre ) </t>
  </si>
  <si>
    <t>Número de casos en que se han generado desviación de los recursos públicos para beneficio particular 
Frecuencia: Trimestral
Meta: 0</t>
  </si>
  <si>
    <t>Recurso humano: Funcionarios  y personal contratista  de la Subdirección Administrativa y Financiera  financiado por el proyecto  de inversión de la SAF</t>
  </si>
  <si>
    <t xml:space="preserve">Informar a los Jefes inmediatos para que se tomen las respectivas medidas
Informar a los entes de control respectivos </t>
  </si>
  <si>
    <t>Inclusión de gastos no autorizados o afectación de rubros que no corresponden con el objeto de gasto</t>
  </si>
  <si>
    <t xml:space="preserve">Jefe del área de presupuesto </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</si>
  <si>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</si>
  <si>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</si>
  <si>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</si>
  <si>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</si>
  <si>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</si>
  <si>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</si>
  <si>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 xml:space="preserve">15 de abril ( I trimestre ) 
15 de julio ( II trimestre) 
15 de octubre ( III trimestre ) 
15 de enero 2023 ( IV trimestre ) </t>
  </si>
  <si>
    <t>Número de casos en que se han generado desviación en el rubro presupuestal autorizado en el PAA
Frecuencia: Trimestral
Meta: 0</t>
  </si>
  <si>
    <t>Tecnología: Condiciones de los sistemas e infraestructura de TI</t>
  </si>
  <si>
    <t>Ingreso de funcionarios no autorizados al portal del banco</t>
  </si>
  <si>
    <t xml:space="preserve">Desviación de recursos públicos  para beneficio particular, a través de transacciones realizadas en los portales bancarios </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</si>
  <si>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</si>
  <si>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</si>
  <si>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</si>
  <si>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</si>
  <si>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</si>
  <si>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</si>
  <si>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</si>
  <si>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</si>
  <si>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</si>
  <si>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15 de julio (I semestre)
15 de enero de 2023 (II semestre)</t>
  </si>
  <si>
    <t>Número de casos en que se han generado desviación en la asignación de roles o permisos en los portales bancarios
Frecuencia: Semestral 
Meta: 0</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</si>
  <si>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</si>
  <si>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</si>
  <si>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</si>
  <si>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</si>
  <si>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</si>
  <si>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</si>
  <si>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</si>
  <si>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No aplicación de las politicas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</si>
  <si>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t>
  </si>
  <si>
    <t>Investigaciones fiscales y/o disciplinarias por parte de los entes de vigilancia y control</t>
  </si>
  <si>
    <t>Tesorera General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</si>
  <si>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</si>
  <si>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</si>
  <si>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</si>
  <si>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</si>
  <si>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</si>
  <si>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Fuerte </t>
  </si>
  <si>
    <t>Verificar durante el cierre de las operaciones bancarias que se adopten las decisiones del Comité de Excedentes de Liquidez</t>
  </si>
  <si>
    <t>1 de febrero a 15 de diciembre de 2022</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</si>
  <si>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</si>
  <si>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</si>
  <si>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</si>
  <si>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</si>
  <si>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</si>
  <si>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</si>
  <si>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</si>
  <si>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FOMENTO A LA ACTIVIDAD FISICA,  EL DEPORTE Y LA RECREACIÓN</t>
  </si>
  <si>
    <t>Diferencia en la información de la programación de jornadas frente a la reportada por la central de comunicaciones.</t>
  </si>
  <si>
    <t>Autorizar el pago de
jornadas de un guardían de ciclovía que no asista a la misma, para beneficio propio.</t>
  </si>
  <si>
    <t>Procesos disciplinarios.
Detrimento patrimonial.</t>
  </si>
  <si>
    <t>Probable (4)</t>
  </si>
  <si>
    <t>Responsable del área.</t>
  </si>
  <si>
    <t xml:space="preserve">
Profesional  administrativo programa Ciclovía para el caso de los guardianes y profesional operativo en el caso de los jefes de ruta</t>
  </si>
  <si>
    <t xml:space="preserve">Mensual
</t>
  </si>
  <si>
    <t>Verificar que las jornadas reportadas coincidan con la prestación del servicio.</t>
  </si>
  <si>
    <t xml:space="preserve">Cruce y verificación del reporte de la central de comunicaciones con la programación de guardianes y jefes de rutas  por jornada cuya informacion debe coincidir. </t>
  </si>
  <si>
    <t>Ajustar el reporte para la planilla de pago de acuerdo con las jornadas cumplidas.</t>
  </si>
  <si>
    <t>Cuadro verificación de jornadas.</t>
  </si>
  <si>
    <t>Indirectamente</t>
  </si>
  <si>
    <t>Cruce y verificación del informe mensual que entregan los guardianes y jefes de ruta con la programación.</t>
  </si>
  <si>
    <t>Profesional  administrativo programa Ciclovía para el caso de los guardianes y profesional operativo en el caso de los jefes de ruta.</t>
  </si>
  <si>
    <t>(N° pagos autorizados sin asistir a jornadas/ total de pagos autorizados) *100
Meta: 0
Frecuencia: Mensual</t>
  </si>
  <si>
    <t>Recurso humano: Funcionarios y personal contratista  de  la Subdirección Técnica de Recreación y Deportes Financiados por los proyectos de inversión de la STRyD</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</si>
  <si>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</si>
  <si>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</si>
  <si>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Cobrar por el trámite de Tarjeta de recreación y espectáculos públicos para adultos mayores (Pasaporte Vital)  para beneficio propio.</t>
  </si>
  <si>
    <t>Quejas de los usuarios
Imagen negativa de la entidad</t>
  </si>
  <si>
    <t xml:space="preserve">Improbable (2) </t>
  </si>
  <si>
    <t xml:space="preserve">Moderado (6) </t>
  </si>
  <si>
    <t>Subdirectora técnica de recreación y deporte
Responsable de Área</t>
  </si>
  <si>
    <t>Profesional especializado del programa adulto mayor.</t>
  </si>
  <si>
    <t>Verificar que la información del trámite  en la página  web, SUIT, guia de tramites y servicios  esté actualizada; al igual que en el portafolio de servicios y en  la  tarjeta  se especifique  la gratuidad del mismo.</t>
  </si>
  <si>
    <t>Ingresando a la plataformas para validar que la informacion  contenida incluya la gratuidad del trámite.</t>
  </si>
  <si>
    <t>Solicitar a la Oficina Asesora  de Comunicaciones o a la Oficina Asesora de de Planeación el ajuste de la información.</t>
  </si>
  <si>
    <t xml:space="preserve">Certificado de actualización de la guía de trámites y servicios
Correo electrónico
</t>
  </si>
  <si>
    <t xml:space="preserve">Moderado </t>
  </si>
  <si>
    <t xml:space="preserve">Directamente </t>
  </si>
  <si>
    <t xml:space="preserve">Indirectamente </t>
  </si>
  <si>
    <t>Establecer y verificar el número de descargas, a fin de monitorear el uso del micrositio.</t>
  </si>
  <si>
    <t xml:space="preserve">Profesional especializado programa persona mayor </t>
  </si>
  <si>
    <t xml:space="preserve">No. De quejas recibidas por cobros del tramite 
Meta: 0
Frecuencia : mensual </t>
  </si>
  <si>
    <t>Realizar la investigación del caso para tomar las accciones a que haya lugar y notificar al área de Control Disciplinario Interno y al supervisor.</t>
  </si>
  <si>
    <t xml:space="preserve">Corrupción </t>
  </si>
  <si>
    <t>Apoyar la realización de eventos deportivos que no hagan parte del Sistema Nacional del Deporte.</t>
  </si>
  <si>
    <t>Se presenten desviaciones de recursos para beneficio privado con la realización de eventos deportivos que no hagan parte del Sistema Nacional del Deporte.</t>
  </si>
  <si>
    <t xml:space="preserve">Subdirector(a)  Técnico(a)  de Recreación y Deporte </t>
  </si>
  <si>
    <t xml:space="preserve">Profesional de rendimiento deportivo </t>
  </si>
  <si>
    <t xml:space="preserve">trimestral 
</t>
  </si>
  <si>
    <t>Verificar la programación de los eventos deportivos de la ciudad en concordancia con la agenda o calendario deportivo del IDRD, a través del sistema de información misional- módulo de eventos.</t>
  </si>
  <si>
    <t xml:space="preserve">Revisar en los casos que haya lugar, que el evento deportivo solicitado por escrito y por parte del interesado haga parte del Sistema Nacional del deporte y en concordancia con el calendario anual deportivo de la ciudad. </t>
  </si>
  <si>
    <t>Si el evento solicitado no se encuentra establecido en el Sistema Nacional del Deporte se informa al solicitante su no apoyo por parte del IDRD, y en caso contrario se realiza un ajuste en el calendario anual deportivo del IDRD.</t>
  </si>
  <si>
    <t>Sistema de Información Misional- Calendario Deportivo
Comunicación oficial de nuevos eventos deportivos 
Correo Electrónico</t>
  </si>
  <si>
    <t>Realizar seguimiento trimestral por medio de mesas de trabajo al calendario deportivo para que no se haya incluido un evento no programado sin autorización.</t>
  </si>
  <si>
    <t>Subdirectora Tecnica de Recreación y Deporte.</t>
  </si>
  <si>
    <t xml:space="preserve">Número  de eventos deportivos aprobados  sin estar  contemplados en la agenda deportiva de Bogotá 
Meta: 0
Frecuencia: Trimestral </t>
  </si>
  <si>
    <t>Realizar la investigación del caso para tomar las accciones a que haya lugar y solicitar la devolución de los recursos.</t>
  </si>
  <si>
    <t>Gestión de Comunicaciones</t>
  </si>
  <si>
    <t xml:space="preserve">No verificación o no cumplimiento del plan de medios </t>
  </si>
  <si>
    <t>Utilización de pauta publicitaria en beneficio de un tercero a través de central de medios para garantizar favores personales o institucionales</t>
  </si>
  <si>
    <t>Pérdida de recursos
Pérdida de imagen o reputación institucional.
Sanciones legales y disciplinarias derivadas del incumplimiento contractual</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</si>
  <si>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</si>
  <si>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</si>
  <si>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</si>
  <si>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</si>
  <si>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 
Revisar que el plan de medios presentado por la Central de Medios se haya ejecutado a cabalidad conforme a la estrategia de comunicaciones definida por la entidad.</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</si>
  <si>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</si>
  <si>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 xml:space="preserve">Documento de seguimiento al plan de medios 
Certificación de cumplimiento 
Informe de ejecución de campaña 
</t>
  </si>
  <si>
    <t>No disminuye</t>
  </si>
  <si>
    <t xml:space="preserve"> Raro (1) </t>
  </si>
  <si>
    <t xml:space="preserve">Mayor (4) </t>
  </si>
  <si>
    <t xml:space="preserve"> Alta (4) </t>
  </si>
  <si>
    <t>Revisar la compatibilidad entre los planes de medios y la estrategia de comunicaciones</t>
  </si>
  <si>
    <t>Jefe Oficina de Comunicaciones</t>
  </si>
  <si>
    <t>30 de noviembre de 2022</t>
  </si>
  <si>
    <t xml:space="preserve">Número de casos en que se utilizaron pautas publicitarias en beneficio de un tercero a través de central de medios
META: 0
FRECUENCIA:Por cada plan de medios </t>
  </si>
  <si>
    <t>Recurso humano: Funcionarios  y personal contratistas de la Oficina Asesora de Comunicaciones   financiado por el proyecto  de inversión de la SAF</t>
  </si>
  <si>
    <t>Gestión Jurídica</t>
  </si>
  <si>
    <t xml:space="preserve">Omitir los preceptos legales aplicables y el acervo probatorio, así como los lineamientos dados por el Jefe de la Oficina y/o el Comité de Conciliación
</t>
  </si>
  <si>
    <t xml:space="preserve">Asumir posiciones legales en contra de la defensa de los intereses de la entidad para beneficio de la contraparte,  propio o de  un tercero.                                                 </t>
  </si>
  <si>
    <t xml:space="preserve">Condenas en contra de la entidad.
Investigaciones disciplinarias, penales y  fiscales. 
Acciones de repetición.
Pago de sanciones y multas.
</t>
  </si>
  <si>
    <t>Jefe Oficina Asesora Jurídica</t>
  </si>
  <si>
    <t>En caso de detectar  inconsistencias en los lineamientos de defensa de los abogados de la OAJ en los procesos judiciales, el Jefe de la OAJ  revisará la oportunidad como la procedencia de radicar un nuevo documento o un alcance al inicialmemnte presentado con estricto cumplimiento a los lineamientos dados por el Jefe de la  OAJ o el Comité de Conciliación según sea el caso y en consideración a que la obligación de la abogacia es de medio y no resultado y cuenta con una cierta liberalidad por parte del aporado.</t>
  </si>
  <si>
    <t xml:space="preserve">Actas del comité interno de defensa judicial que se realiza cada trimestre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litigosas. 
Reporte menusal de reporte de procesos judiciales Siproj. </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</si>
  <si>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</si>
  <si>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2022</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</si>
  <si>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</si>
  <si>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</si>
  <si>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</si>
  <si>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 xml:space="preserve">Omitir el cumplimiento de los requisitos legales exigidos o agilizar indebidamente el trámite respectivo.  </t>
  </si>
  <si>
    <t>Recibir dadivas por agilizar de manera indebida o actuar con falsa o falta de motivación en los  trámites relacionados con el Aval deportivo de las escuelas de formación deportiva y el Reconocimiento deportivo a clubes deportivos, clubes promotores y clubes pertenecientes a entidades no deportivas.</t>
  </si>
  <si>
    <t xml:space="preserve">Afectación de la imagen o reputación institucional.
Demandas en contra de la entidad. 
Daños a terceros.
Acciones de lesividad. </t>
  </si>
  <si>
    <t>Profesional Universitario</t>
  </si>
  <si>
    <t xml:space="preserve">Por cada trámite </t>
  </si>
  <si>
    <t xml:space="preserve">Verificar que la informacion radicada y la que se encuentra en el expediente se ajuste a los requisitos establecidos en la normativa vigente. </t>
  </si>
  <si>
    <t xml:space="preserve">Revisión del estudio técnico, marco legal y proyección del Acto Administrativo para posterior verificación y visto bueno del Jefe.  
</t>
  </si>
  <si>
    <t xml:space="preserve">Se realiza un alcance al oficio inicial en caso de subsanación indicando la postura conforme a la normatividad legal, inició de revocatoia del acto administrativo solicitando la aunencia del particular o demandar mediante acción de nulidad el acto si el mismo se encentra en firme (acción de lesividad). </t>
  </si>
  <si>
    <t xml:space="preserve">Matriz de seguimiento, estudio técnico . </t>
  </si>
  <si>
    <t xml:space="preserve">Realizar  dos reuniones al año al interior de la Oficina Asesora Juridica sobre los posibles hechos de corrupción en  los trámites a cargo de la oficina.  </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</si>
  <si>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</si>
  <si>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tecnologico,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</si>
  <si>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</si>
  <si>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Gestión de Recursos Físicos</t>
  </si>
  <si>
    <t xml:space="preserve">Investigaciones disciplinarias, para el  encargado de bodega.
</t>
  </si>
  <si>
    <t xml:space="preserve">Subdirector(a) Administrativo(a) y Financiero(a)
Almacenista General
</t>
  </si>
  <si>
    <t>Auxiliar de bodega</t>
  </si>
  <si>
    <t xml:space="preserve">Diario
</t>
  </si>
  <si>
    <t xml:space="preserve">
Verificar la presencia de personal no autorizado en la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</si>
  <si>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</si>
  <si>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Se denuncia el acto y se reporta a los entes de vigilancia y control para dar inicio a los procesos sancionatorios.</t>
  </si>
  <si>
    <t xml:space="preserve">Planillas de control de ingreso y salida de la bodega de almacén general dilgenciadas
</t>
  </si>
  <si>
    <t>Revisión de las planillas de control de ingreso al almacén verificando su correcto y total diligenciamiento.</t>
  </si>
  <si>
    <t>Almacenista General</t>
  </si>
  <si>
    <t xml:space="preserve">
INDICADOR: 
Número de casos de pérdida de elementos en Bodega 
FRECUENCIA: Trimestral
META: Cero 
</t>
  </si>
  <si>
    <t>Recurso humano: Funcionarios y personal contratista   del  Área de Almacén General financiado por el proyecto  de inversión de la SAF</t>
  </si>
  <si>
    <t>Revisar las grabaciones de las videocámaras y tomar decisiones de acuerdo al análisis de los hechos 
Instaurar el Denuncio por el bien y dar conocimiento a los entes de Control, a la empresa de vigilancia y a las Aseguradoras para el respectivo tramite.</t>
  </si>
  <si>
    <t>Gestión de Talento Humano</t>
  </si>
  <si>
    <t>Acceso al espacio de custodia a personas no autorizadas para realizar el préstamo de hojas de vida.</t>
  </si>
  <si>
    <t>Revelación de información reservada y clasificada de historias laborales por parte de servidores públicos para beneficio propio o de terceros</t>
  </si>
  <si>
    <t>Daños antijurídicos.
Demandas.
Sanciones y multas.</t>
  </si>
  <si>
    <t xml:space="preserve">Moderado (3) </t>
  </si>
  <si>
    <t>Subdirector(a) Administrativo(a) y Financiero(a)</t>
  </si>
  <si>
    <t>Responsable del área de Talento Humano</t>
  </si>
  <si>
    <t>Cada vez que se recibe una solicitud</t>
  </si>
  <si>
    <t>Verificar la razón por la que se está generando la consulta o la solicitud de préstamo de la historia laboral la cual siempre debe ser consultada en el área de Talento Humano</t>
  </si>
  <si>
    <t xml:space="preserve">Analizando la procedencia y la finalidad de la solicitud. En caso de que sea el titular de la información se permite la consulta de los documentos.
Cuando corresponda a una hoja de vida diferente a un titular, debe tener una justicación para el acceso de la información que normalmente corresponde a entes de control.
El acceso al espacio y a la consulta de las historias laborales,  solo está permitido a las personas autorizadas la cual es supervisada para evitar manejo inadecuado de la información </t>
  </si>
  <si>
    <t>Responder negando la solicitud y justificando la respuesta
Cuando se evidencie que hubo un manejo inadecuado de la información se debe comunicar a los entes de control que apliquen</t>
  </si>
  <si>
    <t>Respuesta a la solicitud ya sea física o digital informando la decisión de préstamo
Formato préstamo de hojas de vida en la cual aparece el nombre de la persona que ingresó.</t>
  </si>
  <si>
    <t xml:space="preserve">Moderado(3) </t>
  </si>
  <si>
    <t>Realizar acuerdos de confidencialidad al personal que ingrese al Área de Talento Humano y tenga acceso a las historias laborales. ( en caso de que aplique )</t>
  </si>
  <si>
    <t>Responsable Área Talento Humano</t>
  </si>
  <si>
    <t xml:space="preserve"> 15 diciembre de 2022 </t>
  </si>
  <si>
    <t xml:space="preserve">Número de casos que se reveló  información reservada y clasificada de historias laborales por parte de servidores públicos para beneficio propio o de terceros
Meta: 0
Frecuencia: anual </t>
  </si>
  <si>
    <t>Recurso humano: Funcionarios y personal contratista del Área de Talento Humano  financiado por el proyecto  de inversión de la SAF</t>
  </si>
  <si>
    <t>Hacer efectivas las clausulas establecidas en el acuerdo de confidencialidad en caso de incumplimiento cuando se identifique  la materialización del riesgo ante la autoridad competente  ( Oficina de Control Disciplinario Interno y/o Procuraduría ).</t>
  </si>
  <si>
    <t>Gestión de Tecnología de la Información y las Comunicaciones</t>
  </si>
  <si>
    <t>Falta de validación de ingreso a sistemas de información a funcionarios no autorizados.</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</si>
  <si>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</si>
  <si>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</si>
  <si>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</si>
  <si>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</si>
  <si>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</si>
  <si>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</si>
  <si>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</si>
  <si>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</si>
  <si>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fuerte</t>
  </si>
  <si>
    <t>Revisar actualizaciones de roles y perfiles de usuario cuando se presente cambios de responsables de área y/o dependencia (radicado y/o requerimiento el sistema de gestión de mesa de servicio  )</t>
  </si>
  <si>
    <t>Responsable Área de Sistemas</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</si>
  <si>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</si>
  <si>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</si>
  <si>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</si>
  <si>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</si>
  <si>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</si>
  <si>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</si>
  <si>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</si>
  <si>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</si>
  <si>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</si>
  <si>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</si>
  <si>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</si>
  <si>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</si>
  <si>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</si>
  <si>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</si>
  <si>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</si>
  <si>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 xml:space="preserve">El acceso a los sistemas de información de usuarios que no cuenten con vínculo laboral o contractual. </t>
  </si>
  <si>
    <t>Coordinador de mesa de servicios</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</si>
  <si>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</si>
  <si>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</si>
  <si>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</si>
  <si>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</si>
  <si>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Adquisición de Bienes y Servicios</t>
  </si>
  <si>
    <t>Deficiencia en la estructuración de requisitos del bien, obra  o servicio a contratar</t>
  </si>
  <si>
    <t xml:space="preserve">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t>
  </si>
  <si>
    <t>Investigaciones disciplinarias, fiscales y penales.
Pérdida de imagen o reputación institucional.</t>
  </si>
  <si>
    <t>Posible (3)</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</si>
  <si>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</si>
  <si>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</si>
  <si>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</si>
  <si>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</si>
  <si>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</si>
  <si>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</si>
  <si>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</si>
  <si>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</si>
  <si>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</si>
  <si>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</si>
  <si>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</si>
  <si>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</si>
  <si>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 xml:space="preserve">Errores graves en la evaluación que incidan en favorecer a un oferente en particular, por omisión o extralimitación de requisitos evaluados </t>
  </si>
  <si>
    <t>Comité evaluador</t>
  </si>
  <si>
    <t xml:space="preserve">Subdirector de Contratación
</t>
  </si>
  <si>
    <t xml:space="preserve">Revisar que los items objeto de evaluación cumplan con los requisitos establecidos en el pliego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</si>
  <si>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</si>
  <si>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</si>
  <si>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</si>
  <si>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</si>
  <si>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</si>
  <si>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</si>
  <si>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</si>
  <si>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</si>
  <si>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</si>
  <si>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</si>
  <si>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</si>
  <si>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</si>
  <si>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Deficiente seguimiento a la gestión contractual por parte del supervisor</t>
  </si>
  <si>
    <t>Aprobación de adiciones  y prorrogas, que no se requieren para la ejecución del contrato, para beneficio personal o de terceros.</t>
  </si>
  <si>
    <t>Investigaciones disiciplinarias, fiscales y penales.
Detrimento patrimonial.
Incumplimiento de metas de los proyectos de inversión.</t>
  </si>
  <si>
    <t>Validar que la solicitud de adición esté debidamente justificada</t>
  </si>
  <si>
    <t>Se verifica que la documentación de la solicitud este completa, y que la justificación sea coherente con los soportes tecnicos adjuntados.</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</si>
  <si>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</si>
  <si>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</si>
  <si>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</si>
  <si>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Número de solicitudes de adición y prorroga que no cumplen con la adecuda justificación tecnica,  de conformidad con la ejecución del contrato
Frecuencia: Semestral
Meta: 0</t>
  </si>
  <si>
    <t xml:space="preserve">Recurso humano: Funcionarios  y personal contratista de la Subdirección de Contratación  financiado por el proyecto  de inversión de la SAF  </t>
  </si>
  <si>
    <t>Aprobación de informes que acreditan el recibo a satisfacción de bienes, obras y/o servicios que realmente nunca han sido entregados o recibidos por la entidad, con el propósito de autorizar los pagos acordados en el contrato o proceder a su correspondiente liquidación.</t>
  </si>
  <si>
    <t>Recibir bienes, obras y/o servicios que no satisfacen las necesidades de la entidad.
Investigaciones disiciplinarias, fiscales y penales.
Detrimento patrimonial.
Pérdida de imagen o reputación institucional.</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</si>
  <si>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</si>
  <si>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</si>
  <si>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</si>
  <si>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</si>
  <si>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</si>
  <si>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</si>
  <si>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</si>
  <si>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</si>
  <si>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</si>
  <si>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</si>
  <si>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</si>
  <si>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Comparando que los soportes del contrato esten completos y acordes con lo descrito en el acta de liquidación</t>
  </si>
  <si>
    <t>Solicitar el ajuste del acta de liquidación,  allegar los soportes faltantes o ajustar los mismos según corresponda</t>
  </si>
  <si>
    <t>Acta de liquidación de contratos</t>
  </si>
  <si>
    <t>Efectuar una revisión a 10 liquidaciones que se esten adelantando en el semestre ,  a fin de verificar que se este dando cumplimiento con lo establecido en el procedimiento de liquidación de contratos</t>
  </si>
  <si>
    <t>Número de liquidaciones que no cumplen con lo establecido en el procedimiento
Frecuencia: Semestral
Meta: 0</t>
  </si>
  <si>
    <t>Administración y Mantenimiento de Parques y Escenarios</t>
  </si>
  <si>
    <t xml:space="preserve">No aplicación de los requisitos establecidos en el Manual de aprovechamiento económico vigente </t>
  </si>
  <si>
    <t>Omitir los criterios tarifarios para el beneficio  propio o de un tercero frente al trámite:  Permiso de uso y/o aprovechamiento económico de parques o escenarios.</t>
  </si>
  <si>
    <t>Acciones legales.
Quejas y reclamos.
Disminución de ingresos por aprovechamiento económico.
Pérdida de buena imagen y credibilidad del Instituto.</t>
  </si>
  <si>
    <t>Subdirector(a) Técnico(a) de Parques
Responsable de area Administración de Escenarios</t>
  </si>
  <si>
    <t xml:space="preserve">Profesional contratado para realizar las visitas de seguimiento y control del aprovechamiento económico  
</t>
  </si>
  <si>
    <t>Bimensual</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</si>
  <si>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</si>
  <si>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</si>
  <si>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 xml:space="preserve">A partir de las visitas en campo en la que se haya detectado la materialización del riesgo, informar al jefe de área responsable para tomar las acciones a que haya lugar </t>
  </si>
  <si>
    <t>Informe de visitas realizadas.</t>
  </si>
  <si>
    <t xml:space="preserve">No disminuye </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</si>
  <si>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</si>
  <si>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</si>
  <si>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 xml:space="preserve">
Número de casos detectados en los que se omiten los criterios normativos,  procedimentales y tarifarios para el beneficio  propio o de un tercero frente al trámite: Permiso de uso y/o aprovechamiento económico de parques o escenarios. 
Meta : 0 
Frecuencia: Mensual </t>
  </si>
  <si>
    <t xml:space="preserve">Recurso humano: Funcionarios y personal contratista de la Subdirección Tecnica de Parques contratada por el proyecto de inversión </t>
  </si>
  <si>
    <t xml:space="preserve">Poner en conocimiento de las autoridades correspondientes (internas y/o externas) con el fin de iniciar las acciones a que haya lugar. </t>
  </si>
  <si>
    <t>Control Disciplinario</t>
  </si>
  <si>
    <t>Ausencia de estricta cadena de custodia de los procesos disciplinarios tramitados bajo los parametros de la Ley 734 de 2002, Ley 1952 de 2019 reformada por la Ley 2094 de 2021</t>
  </si>
  <si>
    <t xml:space="preserve">Posibilidad de alteración, modificación, sustracción, ocultamiento o pérdida de  la información de los procesos disciplinarios tramitados  bajo los parametros de la Ley 734 de 2002, Ley 1952 de 2019 reformada por la Ley 2094 de 2021, por parte del equipo de trabajo de la Oficina para beneficio propio o de un tercero </t>
  </si>
  <si>
    <t>Investigaciones disciplinarias y/o penales.</t>
  </si>
  <si>
    <t>Jefe Oficina Control Disciplinario Interno</t>
  </si>
  <si>
    <t xml:space="preserve">Profesional universitaria
(contratista)
</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</si>
  <si>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</si>
  <si>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</si>
  <si>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</si>
  <si>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</si>
  <si>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</si>
  <si>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</si>
  <si>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</si>
  <si>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</si>
  <si>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Riesgos: 
C2: (se adjunta)
Auditoria:  Proceso de Administración y mantenimiento de parques, aprovechamiento económico, punto de ventas  y otros. 
* Declaración de conflicto de intereses y compromiso ético firmada, por los auditores:Luz Angela Fonseca, Yeimy Prieto, Monica Bustamante.
Auditoria Interna: Proceso Diseño y Construcción de Parques y Escenarios - Estado de avance de las obras. 
* Declaración de conflicto de intereses y compromiso ético firmada, por los auditores: Luz Angela Fonseca, Ana Carolina Restrepo, Raul Salas Casiani.
C3:  ( se adjunta)
Correos electronicos: Revisión informe preliminar/Revisión informe final.
Plan de acciòn: Se da cumplimiento con la acción planteada, teniendo en cuenta que el numero de auditores por auditorias es impar.
Indicador:  Indicadores con seguimiento de acuerdo con la frecuencia (ISOLUCION)
</t>
  </si>
  <si>
    <t>Durante este periodo se realizaron las mesas de trabajo en donde se verificó que la solicitud de aprobación de las actividades no previstas tuvieran concordancia con la información contenida en los pliegos de condiciones, con la documentación que soporta el avance de las obras y demás soportes
El Reporte del  indicador  durante el periodo requerido es el sigueinte:
Aprobación de actividades no previstas o mayores cantidades sin el cumplimiento de los requisitos internos.
Resultado
Enero: 0
Febrero: 0
Marzo: 0
Abril: 0</t>
  </si>
  <si>
    <t>Se adjunta carpeta en Drive Compartido "Riesgos de Corrupcón" , Subcarpeta Actividades no Previstas.</t>
  </si>
  <si>
    <t>Se realizo la Verificación al cumplimiento de las obligaciones contractuales definidas en los contratos terminados a cargo de la Subdirección para la liquidación de los contratos.
Número de contratos  liquidaciones sin el lleno de requisitos 
Enero: 0
Febrero: 0
Marzo: 0
Abril: 0</t>
  </si>
  <si>
    <t>Se adjunta carpeta en Drive Compartido "Riesgos de Corrupcón" , Subcarpeta Liquidaciones.</t>
  </si>
  <si>
    <t>El riesgo no se ha materializado, debido a que los controles y seguimientos han sido efectivios</t>
  </si>
  <si>
    <t>Los controles de préstamos y devolución de expedientes se publicaron en Isolución en el indicador Número de expedientes - pérdida en el archivo central y el físico se encuentra en la serie documental, los inventarios se actualizaron con cada una de las transferencias recibidas, evidencias en la serie documental y la carpeta compartida naos tiene el digital,</t>
  </si>
  <si>
    <t xml:space="preserve">Se evidencia que el proceso realizó seguimiento a los controles y planes de acción  e indicadores. 
Se eliminaron los procesos "Fomento al Deporte" y "Promoción de la Recración" y se creo "Fomento a la actividad Fisica, el Deporte y la Recreación" y se mantuvieron los (3) riesgo identificados inicialmente en la vigencia 2021. Sin observaciones. 
</t>
  </si>
  <si>
    <t xml:space="preserve">Se evidencia que el proceso realizó seguimiento a los controles y planes de acción  e indicadores. 
Se mantuvieron los 6 riesgos; en el riesgo  1se adiciono  1 control  y no se evidencio modificación de la zona de riesgo residual (ALTO). Sin observaciones.- </t>
  </si>
  <si>
    <t xml:space="preserve">Se evidencia que el proceso realizó seguimiento a los controles y planes de acción. 
Se mantuvo el riesgos con los controles asociados y no se evidencio modificación de la zona de riesgo residual (MODERADA). Sin observaciones. </t>
  </si>
  <si>
    <t xml:space="preserve">Se evidencia que el proceso realizó seguimiento a los controles y planes de acción. 
Se mantuvieron los dos riesgos identificados; se actualizaron los controles, los cuales guardan consistentes con el riesgos y guardan coherencia con las causas raices identificadas,  la zona de riesgo residual se mantuvo en (MODERADA). Desde su competencia se atendieron las observaciones de la Oficina de Control Interno. Sin observaciones. 
</t>
  </si>
  <si>
    <t xml:space="preserve">Se evidenció que el proceso cuenta con 1 riesgo de corrupción identificado y 3 controles asociados. De acuerdo con el seguimiento se observa que no se tuvo seguimiento para el control 1, debido a que estan en revisión y estructuración la documentación del proceso. La zona de riesgo residual se mantuvo (MODERADA)
De acuerdo con el INFORME MONITOREO DE SEGUNDA LINEA DE DEFENSA PARA LOS RIESGOS DE CORRUPCIÓ, se realizó la revisión de la  valoración de impacto del riesgo teniendo en cuenta los lineamientos de la versión 5 de la Guía para la administración del riesgo y el diseño de controles en entidades públicas. Pendiente de actualización de acuerdo con lo reportado por el proceso, en relación con la actualización documental. 
</t>
  </si>
  <si>
    <t xml:space="preserve">Se evidencia que el proceso realizó seguimiento a los controles y planes de acción  e indicadores.  Se mantuvieron los riesgos y se mantuvo en zona de riesgo residual (ALTA). Sin observaciones. </t>
  </si>
  <si>
    <t>Se revisó los planes de medios presentados por la Central de Medios con el fin de verificar su ejecución y que no se presentaran pautas publicitarias en beneficio de un tercero a través de la Central de Medios, esta verificación consistio en :
-  Se verificó la factura presetanda por el medio
-  Se verificó que lo efectivamente facturado correspondiente a lo efectivamente ordenado, y aprobado
-  se cotejo la información registrada en la factura con el plan de  medios
-  Se verificó el valor efectivamente facturado por el medio y el valor efectivamente facturado por la central de medios 
-  Se verificó el recibo a satisfacción presentado por la central de medios y la certificación de pauta.</t>
  </si>
  <si>
    <t xml:space="preserve"> - Doc Segto Plan IDRD-En la jugada por Bogotá Jun.Sep.2021 Rev.3
- Doc Segto Plan IDRD-En la jugada por Bogotá Refuerzo Ago.Sep.2021
- Doc Segto Plan IDRD-Equipo Btá fútbol femenino ago.sep.2021
- Doc Segto Plan IDRD-SECOP I IDRD Ago.2021 Rev.1
- Doc Segto Plan IDRD-Act. física, deportiva, recreativa Bta. Nov.Dic.2021 Rev.2
</t>
  </si>
  <si>
    <t xml:space="preserve">Propender por una adecuada, pertinente y eficaz defensa técnica de la entidad dentro de la estrategia de defensa acorde al marco normativo, acervo probatorio y cumpliendo los lineamientos dados por el Jefe de la Oficina o por el Comité de Conciliación sgún sea el caso. </t>
  </si>
  <si>
    <t xml:space="preserve">Hacer seguimiento a las actuaciones que adelanten los apoderados de la entidad dentro de los procesos judiciales que se le asignen velando por la radicación oportuna , y que cada instancia cumpla con los lineamientos impartidos por el Jefe de la Oficina o el Comité de Conciliación, según sea el caso. </t>
  </si>
  <si>
    <t xml:space="preserve">Se evidencia que el proceso realizó seguimiento a los controles y planes de acción  e indicadores.  Se mantuvieron los riesgos y en el R2, la zona de riesgo residual se desplazo de MODERADA a ALTA.. Sin observaciones. </t>
  </si>
  <si>
    <t xml:space="preserve">Se  llevó a cabo dentro de los tiempos establecidos el comité interno de defensa jurídica con el equipo de colaboradores de la oficina asesora jurídica. </t>
  </si>
  <si>
    <t>Se han adelantado los controles y planes de acción de acuerdo a los planes formulados, se lleva seguimiento diario de la matriz de control de solicitudes. 
Cada una de las solicitudes radicadas por los clubes deportivos cuenta con un estudio técnico realizado por el administrador deportivo, los cuales se adjutan como evidencia. 
Para la acción programada se realizó sensibilización sobre los posibloes echos de corrpción en el trámite por parte del líder del proceso.</t>
  </si>
  <si>
    <t xml:space="preserve">
Apropiación indebida de bienes de responsabilidad a cargo del IDRD almacenados en la Bodega por parte de servidores /contratistas/proveedores, para beneficio privado o uso del poder .</t>
  </si>
  <si>
    <t xml:space="preserve">Se evidencia que el proceso realizó seguimiento a los controles y planes de acción  e indicadores.  Se mantuvieron los riesgos y se ajustaron las variables de los controles. En cuanto al nivel de riesgo residual de Zona ALTA se desplazo a zona MODERADA. Sin observaciones. </t>
  </si>
  <si>
    <t>En el periodo no se presentado ninguna materializacion del riesgo</t>
  </si>
  <si>
    <t xml:space="preserve">Se presenta como evidencia la relacion de ingreso del personal a la bogega del almacen general con la respectiva hora de ingreso salida y actividad a realizar.
Ejemplos de 2  Videos de la camara de seguridad, por temas de no colapsar el Drive compartido.  
Ver evidencias en la carpeta Gestión de Recursos Físicos Almacén Evidencias Matriz de Riesgos de Corrupción   </t>
  </si>
  <si>
    <t xml:space="preserve">En el periodo de monitoreo se presentó una solicitud externas de préstamo de historias laborales con fines de consulta de prestamo de vivienda
Respecto al préstamo y consulta interna se evidencia el diligenciamiento del formato de prestamos de hojas de vida para los meses de enero, febrero, marzo y abril. No se presentaron desviaciones durante la ejecución del control.
Respecto al Plan de Acción, se informa que durante este periodo se firmó un nuevo  acuerdo de confidencialidad, con la funcionaria que ingresó al área de TH,  Liliana Serrano Blanco - Secretaria Ejecutiva 425-10.
</t>
  </si>
  <si>
    <t xml:space="preserve">Correo de solicitud de prestamo de Historia Laboral.
Formato de préstamos de hoja de vida para los meses de enero a abril de 2022
Cláusula de Confidencialidad firmada por Liliana Serrano
Ver evidencias en la carpeta Gestión del Talento Humano Evidencias  Matriz de Riesgos de Corrupción </t>
  </si>
  <si>
    <t xml:space="preserve">Se evidencia que el proceso realizó seguimiento a los controles y planes de acción  e indicadores.  Se mantuvo el  riesgo  y el  nivel de riesgo residual de Zona MODERADA. Sin observaciones. </t>
  </si>
  <si>
    <t xml:space="preserve">No se aporto infornación en la matriz de seguimiento. Sin embargo, realizó el seguimiento, añportando las evidencias  de la aplicación de los  controles y planes de acción  e indicadores.  
Se mantuvo el riesgo y se ajustaron las variables del diseño del control, siendo estos ajustes concordante con la causa y el riesgo.  En cuanto al nivel de riesgo residual de Zona EXTREMA  se desplazo a zona ALTA.  </t>
  </si>
  <si>
    <t>Se escanean los expedientes físicos cada vez que se presenta una actuación procesal y se iguala con el virtual y se verifican que concuerde contra el número de expedientes registrados en la base de datos.
De igual manera en la plataforma de ISOLUCIÓN solo tenemos un indicador de corrupción el cual se actualiza mensualmente, y a la fecha nos se ha materializado el riesgo.</t>
  </si>
  <si>
    <t>Se evidencia que el proceso realizó seguimiento a los controles y planes de acción  e indicadores.  no se presento ninguna modificación al riesgo, se mantuvo el riesgo residual en  zona MODERADA  Sin observaciones</t>
  </si>
  <si>
    <t xml:space="preserve">No se aporto infornación en la matriz de seguimiento. Sin embargo, realizó el seguimiento, aportando las evidencias  de la aplicación de los  controles y planes de acción  e indicadores.  
Se mantuvieron los 4 riesgos   En cuanto al nivel de riesgo residual de Zona se desplazoron de  EXTREMA  a ALTA, exceptuando el R4. que se mantuvo en EXTREMA </t>
  </si>
  <si>
    <t>Alto (8)</t>
  </si>
  <si>
    <t xml:space="preserve">Se evidencia cruce de informaciòn. De acuerdo con el mapa de riesgos descargado de la pagina web y lo informado por la OAP, el Proceso no realizò ningun tipo de modificaciòn a la matriz de riesgos y se mantiene el riesgo residual en  ALTA. Por otra parte, en la informaciòn que  consolida la SAF, en drive, se encontro  una matriz en excel "Matriz consolidada Riesgos de Corrupciòn donde se asocia (1) riesgo y (1) control al proceso y una carpeta denominada " 2.Gestiòn Tècnologias de la Informaciòn"/ Subcarpeta "2, donde se hayan (2) archivos (1) en pdf "Solicitudes de usuarios glpi 1er trimestre y (1) reunion de planeaciòn. doc. 
La informaciòn contenida no da trazabilidad  a la matriz de riesgo. 
En virtud de lo anterior, la matriz de riesgos del proceso no pudo ser objeto de revisiòn y analisis. Se recomienda realizar la verificaciòn respectiva y solicitar apoyo a la Oficina Asesora de Planeaciòn para la actualizaciòn a que haya lugar. 
 </t>
  </si>
  <si>
    <t>REPORTADO EN DRIVE. Documento PDF solicitud creación de usuarios por GLPI, Ver evidencias en la carpeta Gestión Tecnologías de la Información Evidencias  Matriz de Riesgos de Corrupción .</t>
  </si>
  <si>
    <t xml:space="preserve">REPORTADO EN EL DRIVE. 
 Se realizo el seguimiento de la asignación de los roles y perfiles a los usuarios de los sistemas de información de acuerdo con las solicitudes de los responsables de cada área.
No se han generado reportes de manipulación o adulteración de la informción en los sietmas de información del IDRD. y por ende no se ha informado a los entes de control. </t>
  </si>
  <si>
    <r>
      <rPr>
        <b/>
        <u/>
        <sz val="20"/>
        <rFont val="Arial"/>
        <family val="2"/>
      </rPr>
      <t>Asociado a controles</t>
    </r>
    <r>
      <rPr>
        <sz val="20"/>
        <rFont val="Arial"/>
        <family val="2"/>
      </rPr>
      <t xml:space="preserve">
Número de casos detectados  en los que se evidenciaron  hechos irregulares 
Meta: 0
Frecuencia: Semestral 
</t>
    </r>
    <r>
      <rPr>
        <b/>
        <u/>
        <sz val="20"/>
        <rFont val="Arial"/>
        <family val="2"/>
      </rPr>
      <t>Asociado a  Plan de acción</t>
    </r>
    <r>
      <rPr>
        <sz val="20"/>
        <rFont val="Arial"/>
        <family val="2"/>
      </rPr>
      <t xml:space="preserve">. 
(No. de trabajos de auditoría con equipo auditor plural asignado/Total de auditorías programadas para la vigencia)*100
Meta: 100%
Frecuencia: De acuerdo al cronograma establecido 
</t>
    </r>
  </si>
  <si>
    <r>
      <t xml:space="preserve">Riesgos: Se realizò la actualizaciòn de la valoración de impacto del riesgo teniendo en cuenta los lineamientos de la versión 5 de la Guía para la administración del riesgo y el diseño de controles en entidades públicas. 
C1: No se han aplicado pruebas, toda vez que se encuentran en proceso de reformulación el procedimiento AUDITORIAS INTERNAS DE CONTROL INTERNO
C2: 
Auditoria Interna:  Proceso de Administración y mantenimiento de parques, aprovechamiento económico, punto de ventas  y otros. 
</t>
    </r>
    <r>
      <rPr>
        <u/>
        <sz val="20"/>
        <rFont val="Arial"/>
        <family val="2"/>
      </rPr>
      <t xml:space="preserve">Auditores: </t>
    </r>
    <r>
      <rPr>
        <sz val="20"/>
        <rFont val="Arial"/>
        <family val="2"/>
      </rPr>
      <t xml:space="preserve">Luz Angela Fonseca, Yeimy Prieto, Monica Bustamante.
Auditoria Interna: Proceso Diseño y Construcción de Parques y Escenarios - Estado de avance de las obras. 
</t>
    </r>
    <r>
      <rPr>
        <u/>
        <sz val="20"/>
        <rFont val="Arial"/>
        <family val="2"/>
      </rPr>
      <t xml:space="preserve">Auditores: </t>
    </r>
    <r>
      <rPr>
        <sz val="20"/>
        <rFont val="Arial"/>
        <family val="2"/>
      </rPr>
      <t xml:space="preserve">Luz Angela Fonseca, Ana Carolina Restrepo, Raul Salas Casiani.
C3:  Las revisiones se realizaron mediante correos electronicos. 
Revisión informe preliminar
Revisión informe final.
Plan de acciòn: Se da cumplimiento con la acción planteada, teniendo en cuenta que el numero de auditores por auditorias es impar.
Indicador:  Indicadores con seguimiento de acuerdo con la frecuencia (ISOLUCION)
</t>
    </r>
  </si>
  <si>
    <r>
      <t xml:space="preserve">
</t>
    </r>
    <r>
      <rPr>
        <sz val="20"/>
        <rFont val="Arial"/>
        <family val="2"/>
      </rPr>
      <t>No revisión por parte del supervisor de las actividades no previstas presentadas y aprobadas por parte de la interventoría y el contratista</t>
    </r>
  </si>
  <si>
    <r>
      <rPr>
        <sz val="20"/>
        <rFont val="Arial"/>
        <family val="2"/>
      </rPr>
      <t xml:space="preserve">Actas de reuniones de seguimiento y verificación de actividades no previstas </t>
    </r>
    <r>
      <rPr>
        <sz val="20"/>
        <color rgb="FF00B050"/>
        <rFont val="Arial"/>
        <family val="2"/>
      </rPr>
      <t xml:space="preserve">
</t>
    </r>
    <r>
      <rPr>
        <sz val="20"/>
        <color theme="1"/>
        <rFont val="Arial"/>
        <family val="2"/>
      </rPr>
      <t xml:space="preserve">
Comunicaciones oficiales </t>
    </r>
  </si>
  <si>
    <r>
      <rPr>
        <sz val="20"/>
        <color rgb="FFFF0000"/>
        <rFont val="Arial"/>
        <family val="2"/>
      </rPr>
      <t xml:space="preserve">
</t>
    </r>
    <r>
      <rPr>
        <sz val="20"/>
        <rFont val="Arial"/>
        <family val="2"/>
      </rPr>
      <t xml:space="preserve">Número de contratos </t>
    </r>
    <r>
      <rPr>
        <sz val="20"/>
        <color theme="1"/>
        <rFont val="Arial"/>
        <family val="2"/>
      </rPr>
      <t xml:space="preserve"> liquidaciones sin el lleno de requisitos 
Meta: 0
Frecuencia: Cuatrimestral </t>
    </r>
  </si>
  <si>
    <r>
      <t xml:space="preserve">
</t>
    </r>
    <r>
      <rPr>
        <sz val="20"/>
        <rFont val="Arial"/>
        <family val="2"/>
      </rPr>
      <t>FUID
registro de préstamo de documentos</t>
    </r>
    <r>
      <rPr>
        <sz val="20"/>
        <color indexed="10"/>
        <rFont val="Arial"/>
        <family val="2"/>
      </rPr>
      <t xml:space="preserve">
</t>
    </r>
  </si>
  <si>
    <r>
      <t>Verificar trimestralmente</t>
    </r>
    <r>
      <rPr>
        <b/>
        <sz val="20"/>
        <rFont val="Arial"/>
        <family val="2"/>
      </rPr>
      <t xml:space="preserve"> </t>
    </r>
    <r>
      <rPr>
        <sz val="20"/>
        <rFont val="Arial"/>
        <family val="2"/>
      </rPr>
      <t xml:space="preserve"> una muestra de 30 comprobantes de egreso representativos que se haya generado el pago en valor, cuenta y tercero para los cuales generó la autorización el ordenador del gasto  (documento de verificación de comprobantes) </t>
    </r>
  </si>
  <si>
    <r>
      <t xml:space="preserve">
</t>
    </r>
    <r>
      <rPr>
        <sz val="20"/>
        <rFont val="Arial"/>
        <family val="2"/>
      </rPr>
      <t xml:space="preserve">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r>
    <r>
      <rPr>
        <sz val="20"/>
        <color rgb="FFFF0000"/>
        <rFont val="Arial"/>
        <family val="2"/>
      </rPr>
      <t xml:space="preserve">
</t>
    </r>
  </si>
  <si>
    <r>
      <rPr>
        <sz val="20"/>
        <rFont val="Arial"/>
        <family val="2"/>
      </rPr>
      <t xml:space="preserve">Mensual, trimestral </t>
    </r>
    <r>
      <rPr>
        <b/>
        <sz val="20"/>
        <rFont val="Arial"/>
        <family val="2"/>
      </rPr>
      <t xml:space="preserve">
</t>
    </r>
  </si>
  <si>
    <r>
      <t xml:space="preserve">
</t>
    </r>
    <r>
      <rPr>
        <b/>
        <sz val="20"/>
        <rFont val="Arial"/>
        <family val="2"/>
      </rPr>
      <t>Comité interno de defensa judicial trimestral:</t>
    </r>
    <r>
      <rPr>
        <sz val="20"/>
        <rFont val="Arial"/>
        <family val="2"/>
      </rPr>
      <t xml:space="preserve"> Se realiza comité de defensa jurídica el día 28 de marzo del 2022, se adjunta caeprta en formato zip con las evidencias de la reunión, así como anexos de la misma. 
Para el plan de acción programado en el comité de defensa por ser el primero realizado durante la vigencia 2022 se abordaron los temas descritos en el mismo, sin embargo se realizarán mesas de trabajo para aborgar los procedimientos sobre representación judicial para socializarlos con el equipo de abogados de la OAJ.</t>
    </r>
  </si>
  <si>
    <r>
      <rPr>
        <b/>
        <sz val="20"/>
        <rFont val="Arial"/>
        <family val="2"/>
      </rPr>
      <t xml:space="preserve">Matriz de control de solicitudes de reconocimiento deportivo. </t>
    </r>
    <r>
      <rPr>
        <sz val="20"/>
        <rFont val="Arial"/>
        <family val="2"/>
      </rPr>
      <t xml:space="preserve"> Se adjunta matriz seguimiento de solicitudes en formator excel.
</t>
    </r>
    <r>
      <rPr>
        <b/>
        <sz val="20"/>
        <rFont val="Arial"/>
        <family val="2"/>
      </rPr>
      <t xml:space="preserve">Lista de chequeo otorgamiento,  actualización y renovación, lista de chequeo renovación clubes no deportivos, lista de chequeo otorgamiento clubes no deportivos, lista de chequeo  actualización clubes no deportivo: </t>
    </r>
    <r>
      <rPr>
        <sz val="20"/>
        <rFont val="Arial"/>
        <family val="2"/>
      </rPr>
      <t xml:space="preserve"> Se adjuntan estudios técnicos realizados en el periodo reportado por los administradores deportivos en donde se verifica el cumplimiento de requisitos de acuerdo a la normativa vigente. 
</t>
    </r>
    <r>
      <rPr>
        <b/>
        <sz val="20"/>
        <rFont val="Arial"/>
        <family val="2"/>
      </rPr>
      <t xml:space="preserve">
Realizar  dos reuniones al año al interior de la Oficina Asesora Juridica sobre los posibles hechos de corrupción en  los trámites a cargo de la oficina:</t>
    </r>
    <r>
      <rPr>
        <sz val="20"/>
        <rFont val="Arial"/>
        <family val="2"/>
      </rPr>
      <t xml:space="preserve"> en reunión realizada el 28 de marzo de 2022 ( comité de defensa jurídica ) en el punto 5 se sensibiliza sobre los riesgos de gestión y corrupción, entre ello los posibles hechos de corrupción que se deben eviar al interior del proceso. </t>
    </r>
  </si>
  <si>
    <r>
      <t>Ingreso de personal no autorizado a la bodega</t>
    </r>
    <r>
      <rPr>
        <strike/>
        <sz val="20"/>
        <rFont val="Arial"/>
        <family val="2"/>
      </rPr>
      <t xml:space="preserve"> </t>
    </r>
    <r>
      <rPr>
        <sz val="20"/>
        <rFont val="Arial"/>
        <family val="2"/>
      </rPr>
      <t xml:space="preserve">
</t>
    </r>
  </si>
  <si>
    <r>
      <t xml:space="preserve">Número de casos de manipulación y adulteración de la información contenida en los sistemas de información para beneficio propio o de un tercero.
Meta: 0
Frecuencia: Semestral </t>
    </r>
    <r>
      <rPr>
        <sz val="20"/>
        <color rgb="FFFF0000"/>
        <rFont val="Arial"/>
        <family val="2"/>
      </rPr>
      <t xml:space="preserve">
</t>
    </r>
  </si>
  <si>
    <t>Descripción de los soportesde las evidencias documentales de la implementación de los controles y planes de acción.</t>
  </si>
  <si>
    <t>SEGUIMIENTO DE LA OFICINA DE CONTROL INTERNO - OCI
A 30 DE  ABRI DE 2022</t>
  </si>
  <si>
    <t>A 30 DE ABRI DE 2022</t>
  </si>
  <si>
    <t>SEGUIMIENTO DE EJECUTORES
30 DE ABRIL 2022</t>
  </si>
  <si>
    <r>
      <rPr>
        <b/>
        <sz val="20"/>
        <color theme="1"/>
        <rFont val="Arial"/>
        <family val="2"/>
      </rPr>
      <t>Control 1:</t>
    </r>
    <r>
      <rPr>
        <sz val="20"/>
        <color theme="1"/>
        <rFont val="Arial"/>
        <family val="2"/>
      </rPr>
      <t xml:space="preserve"> En la Tesorería se lleva a cabo el control al verificar el archivo que genera SEVEN para el cargue en BogData para el pago, comparando los datos del tercero y la cuenta bancaria con la ordenación del pago. 
</t>
    </r>
    <r>
      <rPr>
        <b/>
        <sz val="20"/>
        <color theme="1"/>
        <rFont val="Arial"/>
        <family val="2"/>
      </rPr>
      <t xml:space="preserve">
Acción 1</t>
    </r>
    <r>
      <rPr>
        <sz val="20"/>
        <color theme="1"/>
        <rFont val="Arial"/>
        <family val="2"/>
      </rPr>
      <t>: Se tomó los 30 comprobantes de egreso más representativos del primer trimestre y se verificó en la orden de pago el tercero y la cuenta bancaria frente al pago realizado (reporte de SAP o soporte bancarios en el caso de los recursos administrados).</t>
    </r>
  </si>
  <si>
    <r>
      <rPr>
        <b/>
        <sz val="20"/>
        <color theme="1"/>
        <rFont val="Arial"/>
        <family val="2"/>
      </rPr>
      <t>Control 1:</t>
    </r>
    <r>
      <rPr>
        <sz val="20"/>
        <color theme="1"/>
        <rFont val="Arial"/>
        <family val="2"/>
      </rPr>
      <t xml:space="preserve"> Se anexan correos electrónicos de devolución a la central de cuentas de Planilla 2 STP Reserva, Planilla 2 STP Unificada, Planilla cesiones varias y Planilla individual CTO 952-2022
</t>
    </r>
    <r>
      <rPr>
        <b/>
        <sz val="20"/>
        <color theme="1"/>
        <rFont val="Arial"/>
        <family val="2"/>
      </rPr>
      <t>Acción 1:</t>
    </r>
    <r>
      <rPr>
        <sz val="20"/>
        <color theme="1"/>
        <rFont val="Arial"/>
        <family val="2"/>
      </rPr>
      <t xml:space="preserve"> Ver Isolucion indicadores de corrupción del proceso. </t>
    </r>
  </si>
  <si>
    <r>
      <rPr>
        <b/>
        <sz val="20"/>
        <color theme="1"/>
        <rFont val="Arial"/>
        <family val="2"/>
      </rPr>
      <t>Control 2:</t>
    </r>
    <r>
      <rPr>
        <sz val="20"/>
        <color theme="1"/>
        <rFont val="Arial"/>
        <family val="2"/>
      </rPr>
      <t xml:space="preserve"> Cuando se reciben las solicitudes de CDPs en el área de Presupuesto se verifica el rubro o proyecto a afectar, el objeto y el valor de la solicitud frente a lo aprobado en el Plan de Adquisiciones.  
</t>
    </r>
    <r>
      <rPr>
        <b/>
        <sz val="20"/>
        <color theme="1"/>
        <rFont val="Arial"/>
        <family val="2"/>
      </rPr>
      <t>Acción 2:</t>
    </r>
    <r>
      <rPr>
        <sz val="20"/>
        <color theme="1"/>
        <rFont val="Arial"/>
        <family val="2"/>
      </rPr>
      <t xml:space="preserve"> Se tomó los 30 CDPs expedidos más representativos y se realizó la comparación del objeto, el rubro, la fuente y el valor del mismo frente al Plan de Adquisiciones. </t>
    </r>
  </si>
  <si>
    <r>
      <rPr>
        <b/>
        <sz val="20"/>
        <color theme="1"/>
        <rFont val="Arial"/>
        <family val="2"/>
      </rPr>
      <t xml:space="preserve">Control 2: </t>
    </r>
    <r>
      <rPr>
        <sz val="20"/>
        <color theme="1"/>
        <rFont val="Arial"/>
        <family val="2"/>
      </rPr>
      <t xml:space="preserve">Se anexa cuatro correos de devolución de trámite de CDP.
Archivo de gestión en la nube del área de Presupuesto carpetas "Certificado de Disponibilidad" que es muy grande para cargar al drive, en caso de requerir consulta por favor acercarse al Área de Presupuesto. Se anexa pantallazo. 
</t>
    </r>
    <r>
      <rPr>
        <b/>
        <sz val="20"/>
        <color theme="1"/>
        <rFont val="Arial"/>
        <family val="2"/>
      </rPr>
      <t xml:space="preserve">Acción 2: </t>
    </r>
    <r>
      <rPr>
        <sz val="20"/>
        <color theme="1"/>
        <rFont val="Arial"/>
        <family val="2"/>
      </rPr>
      <t>Ver Isolucion indicadores de corrupción del proceso.</t>
    </r>
  </si>
  <si>
    <r>
      <rPr>
        <b/>
        <sz val="20"/>
        <color theme="1"/>
        <rFont val="Arial"/>
        <family val="2"/>
      </rPr>
      <t>Control 3:</t>
    </r>
    <r>
      <rPr>
        <sz val="20"/>
        <color theme="1"/>
        <rFont val="Arial"/>
        <family val="2"/>
      </rPr>
      <t xml:space="preserve"> No existen modificaciones o ingresos de personas donde sea necesario crear roles en los portales bancarios. 
</t>
    </r>
    <r>
      <rPr>
        <b/>
        <sz val="20"/>
        <color theme="1"/>
        <rFont val="Arial"/>
        <family val="2"/>
      </rPr>
      <t>Acción 3:</t>
    </r>
    <r>
      <rPr>
        <sz val="20"/>
        <color theme="1"/>
        <rFont val="Arial"/>
        <family val="2"/>
      </rPr>
      <t xml:space="preserve"> En tiempo, se realiza al finalizar el primer semestre del año. </t>
    </r>
  </si>
  <si>
    <r>
      <rPr>
        <b/>
        <sz val="20"/>
        <color theme="1"/>
        <rFont val="Arial"/>
        <family val="2"/>
      </rPr>
      <t>Control 3:</t>
    </r>
    <r>
      <rPr>
        <sz val="20"/>
        <color theme="1"/>
        <rFont val="Arial"/>
        <family val="2"/>
      </rPr>
      <t xml:space="preserve"> No se anexa evidencia debido a que no se generaron modificacion o ingresos de personas donde se requiera solicitar roles en los portales bancarios. 
</t>
    </r>
    <r>
      <rPr>
        <b/>
        <sz val="20"/>
        <color theme="1"/>
        <rFont val="Arial"/>
        <family val="2"/>
      </rPr>
      <t xml:space="preserve">
Acción 3</t>
    </r>
    <r>
      <rPr>
        <sz val="20"/>
        <color theme="1"/>
        <rFont val="Arial"/>
        <family val="2"/>
      </rPr>
      <t>: N/A</t>
    </r>
  </si>
  <si>
    <r>
      <rPr>
        <b/>
        <sz val="20"/>
        <color theme="1"/>
        <rFont val="Arial"/>
        <family val="2"/>
      </rPr>
      <t>Control 4</t>
    </r>
    <r>
      <rPr>
        <sz val="20"/>
        <color theme="1"/>
        <rFont val="Arial"/>
        <family val="2"/>
      </rPr>
      <t xml:space="preserve">: No existen modificaciones o ingresos de personas donde sea necesario solicitar token en los portales bancarios. 
</t>
    </r>
  </si>
  <si>
    <r>
      <rPr>
        <b/>
        <sz val="20"/>
        <color theme="1"/>
        <rFont val="Arial"/>
        <family val="2"/>
      </rPr>
      <t>Control 4:</t>
    </r>
    <r>
      <rPr>
        <sz val="20"/>
        <color theme="1"/>
        <rFont val="Arial"/>
        <family val="2"/>
      </rPr>
      <t xml:space="preserve"> No se anexa evidencia debido a que no se generaron modificacion o ingresos de personas donde se requiera solicitar token en los portales bancarios. 
</t>
    </r>
  </si>
  <si>
    <r>
      <rPr>
        <b/>
        <sz val="20"/>
        <color theme="1"/>
        <rFont val="Arial"/>
        <family val="2"/>
      </rPr>
      <t>Control 5:</t>
    </r>
    <r>
      <rPr>
        <sz val="20"/>
        <color theme="1"/>
        <rFont val="Arial"/>
        <family val="2"/>
      </rPr>
      <t xml:space="preserve"> Diariamente se revisan los saldos de los bancos y se realiza el cálculo de la concentración de recursos en cado uno de ellos para verificar que ninguno sobrepase los porcentajes establecidos en la Resolución 315 de 2019. </t>
    </r>
  </si>
  <si>
    <r>
      <rPr>
        <b/>
        <sz val="20"/>
        <color theme="1"/>
        <rFont val="Arial"/>
        <family val="2"/>
      </rPr>
      <t>Control 5</t>
    </r>
    <r>
      <rPr>
        <sz val="20"/>
        <color theme="1"/>
        <rFont val="Arial"/>
        <family val="2"/>
      </rPr>
      <t xml:space="preserve">: Se anexan los saldos bancarios de los días: 3 y 28 de enero, 4 y 22 de febrero y 10 y 28 de marzo.  </t>
    </r>
  </si>
  <si>
    <r>
      <rPr>
        <b/>
        <sz val="20"/>
        <color theme="1"/>
        <rFont val="Arial"/>
        <family val="2"/>
      </rPr>
      <t xml:space="preserve">Control 6: </t>
    </r>
    <r>
      <rPr>
        <sz val="20"/>
        <color theme="1"/>
        <rFont val="Arial"/>
        <family val="2"/>
      </rPr>
      <t xml:space="preserve">Se lleva propuesta de inversión para ser aprobada o no por el Comité de Excedentes de Liquidez, lo cual se consigna en las actas de Comité y en las grabaciones respectivas. 
</t>
    </r>
    <r>
      <rPr>
        <b/>
        <sz val="20"/>
        <color theme="1"/>
        <rFont val="Arial"/>
        <family val="2"/>
      </rPr>
      <t>Acción 4</t>
    </r>
    <r>
      <rPr>
        <sz val="20"/>
        <color theme="1"/>
        <rFont val="Arial"/>
        <family val="2"/>
      </rPr>
      <t xml:space="preserve">: Se verifica en el momento del cierre de la negociación y antes de la firma de los documentos que se enviarán al banco, que se hayan acatado las instrucciones del Comité. </t>
    </r>
  </si>
  <si>
    <r>
      <rPr>
        <b/>
        <sz val="20"/>
        <color theme="1"/>
        <rFont val="Arial"/>
        <family val="2"/>
      </rPr>
      <t>Control 6</t>
    </r>
    <r>
      <rPr>
        <sz val="20"/>
        <color theme="1"/>
        <rFont val="Arial"/>
        <family val="2"/>
      </rPr>
      <t xml:space="preserve">: </t>
    </r>
    <r>
      <rPr>
        <sz val="20"/>
        <rFont val="Arial"/>
        <family val="2"/>
      </rPr>
      <t>Se anexan actas 115, 116, 117 , 118 y 119. Las grabaciones se</t>
    </r>
    <r>
      <rPr>
        <sz val="20"/>
        <color theme="1"/>
        <rFont val="Arial"/>
        <family val="2"/>
      </rPr>
      <t xml:space="preserve"> encuentran en el archivo de gestión en la nube del área de Tesorería y se anexa pantallazo debido a que no es posible enviarse por su peso. 
</t>
    </r>
    <r>
      <rPr>
        <b/>
        <sz val="20"/>
        <color theme="1"/>
        <rFont val="Arial"/>
        <family val="2"/>
      </rPr>
      <t>Acción 4</t>
    </r>
    <r>
      <rPr>
        <sz val="20"/>
        <color theme="1"/>
        <rFont val="Arial"/>
        <family val="2"/>
      </rPr>
      <t xml:space="preserve">: Ver Isolucion indicadores de corrupción del proceso. </t>
    </r>
  </si>
  <si>
    <r>
      <rPr>
        <b/>
        <sz val="20"/>
        <color theme="1"/>
        <rFont val="Arial"/>
        <family val="2"/>
      </rPr>
      <t xml:space="preserve">1. Control: </t>
    </r>
    <r>
      <rPr>
        <sz val="20"/>
        <color theme="1"/>
        <rFont val="Arial"/>
        <family val="2"/>
      </rPr>
      <t xml:space="preserve">Cruce y verificación del reporte de la central de comunicaciones con la programación de guardianes y jefes de rutas  por jornada cuya informacion debe coincidir. 
</t>
    </r>
    <r>
      <rPr>
        <u/>
        <sz val="20"/>
        <color theme="1"/>
        <rFont val="Arial"/>
        <family val="2"/>
      </rPr>
      <t>Seguimiento control:</t>
    </r>
    <r>
      <rPr>
        <sz val="20"/>
        <color theme="1"/>
        <rFont val="Arial"/>
        <family val="2"/>
      </rPr>
      <t xml:space="preserve"> Para los meses de enero, febrero, marzo y abril de 2022 se realizó la acción descrita.
</t>
    </r>
    <r>
      <rPr>
        <b/>
        <sz val="20"/>
        <color theme="1"/>
        <rFont val="Arial"/>
        <family val="2"/>
      </rPr>
      <t>2. Acción:</t>
    </r>
    <r>
      <rPr>
        <sz val="20"/>
        <color theme="1"/>
        <rFont val="Arial"/>
        <family val="2"/>
      </rPr>
      <t xml:space="preserve"> Cruce y verificación del informe mensual que entregan los guardianes y jefes de ruta con la programación.
</t>
    </r>
    <r>
      <rPr>
        <u/>
        <sz val="20"/>
        <color theme="1"/>
        <rFont val="Arial"/>
        <family val="2"/>
      </rPr>
      <t xml:space="preserve">
Seguimiento acción: </t>
    </r>
    <r>
      <rPr>
        <sz val="20"/>
        <color theme="1"/>
        <rFont val="Arial"/>
        <family val="2"/>
      </rPr>
      <t xml:space="preserve">Para los meses de enero, febrero, marzo y abril de 2022 se realizó la acción descrita.
</t>
    </r>
    <r>
      <rPr>
        <b/>
        <sz val="20"/>
        <color theme="1"/>
        <rFont val="Arial"/>
        <family val="2"/>
      </rPr>
      <t>Resultado mensual de indicador:</t>
    </r>
    <r>
      <rPr>
        <sz val="20"/>
        <color theme="1"/>
        <rFont val="Arial"/>
        <family val="2"/>
      </rPr>
      <t xml:space="preserve"> (N° pagos autorizados sin asistir a jornadas/ total de pagos autorizados) *100
Enero: 0 (0/246)
Febrero: 0 (0/238)
Marzo: 0 (0/236)
Abril: 0 (0/252)
EL RIESGO NO SE MATERIALIZÓ EN LO MESES OBJETO DE REPORTE.</t>
    </r>
  </si>
  <si>
    <r>
      <rPr>
        <b/>
        <sz val="20"/>
        <color theme="1"/>
        <rFont val="Arial"/>
        <family val="2"/>
      </rPr>
      <t>Soportes Control:</t>
    </r>
    <r>
      <rPr>
        <sz val="20"/>
        <color theme="1"/>
        <rFont val="Arial"/>
        <family val="2"/>
      </rPr>
      <t xml:space="preserve"> Correos de reporte y cuadros de Excel con verificaciones de  enero, febrero, marzo y abril de 2022.
</t>
    </r>
    <r>
      <rPr>
        <b/>
        <sz val="20"/>
        <color theme="1"/>
        <rFont val="Arial"/>
        <family val="2"/>
      </rPr>
      <t>Soportes Acción:</t>
    </r>
    <r>
      <rPr>
        <sz val="20"/>
        <color theme="1"/>
        <rFont val="Arial"/>
        <family val="2"/>
      </rPr>
      <t xml:space="preserve"> Correos de reporte y cuadros de Excel con verificaciones de  enero, febrero, marzo y abril de 2022.
</t>
    </r>
  </si>
  <si>
    <r>
      <rPr>
        <b/>
        <sz val="20"/>
        <color theme="1"/>
        <rFont val="Arial"/>
        <family val="2"/>
      </rPr>
      <t>1. Control:</t>
    </r>
    <r>
      <rPr>
        <sz val="20"/>
        <color theme="1"/>
        <rFont val="Arial"/>
        <family val="2"/>
      </rPr>
      <t xml:space="preserve"> Verificar que la información del trámite  en la página  web, SUIT, guia de tramites y servicios  esté actualizada; al igual que en el portafolio de servicios y en  la  tarjeta  se especifique  la gratuidad del mismo.
</t>
    </r>
    <r>
      <rPr>
        <u/>
        <sz val="20"/>
        <color theme="1"/>
        <rFont val="Arial"/>
        <family val="2"/>
      </rPr>
      <t>Seguimiento control:</t>
    </r>
    <r>
      <rPr>
        <sz val="20"/>
        <color theme="1"/>
        <rFont val="Arial"/>
        <family val="2"/>
      </rPr>
      <t xml:space="preserve"> Para los meses de enero, febrero, marzo y abril de 2022 se realizó la acción descrita.
</t>
    </r>
    <r>
      <rPr>
        <b/>
        <sz val="20"/>
        <color theme="1"/>
        <rFont val="Arial"/>
        <family val="2"/>
      </rPr>
      <t xml:space="preserve">2. Acción: </t>
    </r>
    <r>
      <rPr>
        <sz val="20"/>
        <color theme="1"/>
        <rFont val="Arial"/>
        <family val="2"/>
      </rPr>
      <t xml:space="preserve">Establecer y verificar el número de descargas, a fin de monitorear el uso del micrositio. 
</t>
    </r>
    <r>
      <rPr>
        <u/>
        <sz val="20"/>
        <color theme="1"/>
        <rFont val="Arial"/>
        <family val="2"/>
      </rPr>
      <t xml:space="preserve">Seguimiento acción: </t>
    </r>
    <r>
      <rPr>
        <sz val="20"/>
        <color theme="1"/>
        <rFont val="Arial"/>
        <family val="2"/>
      </rPr>
      <t xml:space="preserve">Se verificó el número de descargas del micositio para los meses objeto de reporte.
</t>
    </r>
    <r>
      <rPr>
        <b/>
        <sz val="20"/>
        <color theme="1"/>
        <rFont val="Arial"/>
        <family val="2"/>
      </rPr>
      <t>Resultado mensual de indicador</t>
    </r>
    <r>
      <rPr>
        <sz val="20"/>
        <color theme="1"/>
        <rFont val="Arial"/>
        <family val="2"/>
      </rPr>
      <t>: No. De quejas recibidas por cobros del tramite 
Enero: 0 
Febrero: 0 
Marzo: 0 
Abril: 0 
EL RIESGO NO SE MATERIALIZÓ EN LO MESES OBJETO DE REPORTE.</t>
    </r>
  </si>
  <si>
    <r>
      <rPr>
        <b/>
        <sz val="20"/>
        <color theme="1"/>
        <rFont val="Arial"/>
        <family val="2"/>
      </rPr>
      <t xml:space="preserve">Soportes Control: </t>
    </r>
    <r>
      <rPr>
        <sz val="20"/>
        <color theme="1"/>
        <rFont val="Arial"/>
        <family val="2"/>
      </rPr>
      <t xml:space="preserve">Correos certificando la actualización de las páginas de los meses de enero, febrero, marzo y abril de 2022.
</t>
    </r>
    <r>
      <rPr>
        <b/>
        <sz val="20"/>
        <color theme="1"/>
        <rFont val="Arial"/>
        <family val="2"/>
      </rPr>
      <t>Soportes Acción:</t>
    </r>
    <r>
      <rPr>
        <sz val="20"/>
        <color theme="1"/>
        <rFont val="Arial"/>
        <family val="2"/>
      </rPr>
      <t xml:space="preserve"> Correo de los meses de enero, febrero, marzo y abril de 2022 con reporte de número de descargas en el micrositio</t>
    </r>
  </si>
  <si>
    <r>
      <rPr>
        <b/>
        <sz val="20"/>
        <color theme="1"/>
        <rFont val="Arial"/>
        <family val="2"/>
      </rPr>
      <t>1. Control:</t>
    </r>
    <r>
      <rPr>
        <sz val="20"/>
        <color theme="1"/>
        <rFont val="Arial"/>
        <family val="2"/>
      </rPr>
      <t xml:space="preserve"> Verificar la programación de los eventos deportivos de la ciudad en concordancia con la agenda o calendario deportivo del IDRD, a través del sistema de información misional- módulo de eventos.
</t>
    </r>
    <r>
      <rPr>
        <b/>
        <sz val="20"/>
        <color theme="1"/>
        <rFont val="Arial"/>
        <family val="2"/>
      </rPr>
      <t xml:space="preserve">2. Acción: </t>
    </r>
    <r>
      <rPr>
        <sz val="20"/>
        <color theme="1"/>
        <rFont val="Arial"/>
        <family val="2"/>
      </rPr>
      <t xml:space="preserve">Realizar seguimiento trimestral por medio de mesas de trabajo al calendario deportivo para que no se haya incluido un evento no programado sin autorización.
</t>
    </r>
    <r>
      <rPr>
        <u/>
        <sz val="20"/>
        <color theme="1"/>
        <rFont val="Arial"/>
        <family val="2"/>
      </rPr>
      <t xml:space="preserve">Seguimiento acción: </t>
    </r>
    <r>
      <rPr>
        <sz val="20"/>
        <color theme="1"/>
        <rFont val="Arial"/>
        <family val="2"/>
      </rPr>
      <t xml:space="preserve">Se verificó la programación de los eventos deportivos, sin novedades.
</t>
    </r>
    <r>
      <rPr>
        <b/>
        <sz val="20"/>
        <color theme="1"/>
        <rFont val="Arial"/>
        <family val="2"/>
      </rPr>
      <t>Resultado mensual de indicador</t>
    </r>
    <r>
      <rPr>
        <sz val="20"/>
        <color theme="1"/>
        <rFont val="Arial"/>
        <family val="2"/>
      </rPr>
      <t>: Número  de eventos deportivos aprobados  sin estar  contemplados en la agenda deportiva de Bogotá 
Enero: 0 
Febrero: 0 
Marzo: 0 
Abril: 0 
EL RIESGO NO SE MATERIALIZÓ EN LO MESES OBJETO DE REPORTE.</t>
    </r>
  </si>
  <si>
    <r>
      <rPr>
        <b/>
        <sz val="20"/>
        <color theme="1"/>
        <rFont val="Arial"/>
        <family val="2"/>
      </rPr>
      <t xml:space="preserve">Soportes Control: </t>
    </r>
    <r>
      <rPr>
        <sz val="20"/>
        <color theme="1"/>
        <rFont val="Arial"/>
        <family val="2"/>
      </rPr>
      <t xml:space="preserve">Cronograna del calendario deportivo, descargado del SIM de los eventos programados a abril en Bogotá
</t>
    </r>
    <r>
      <rPr>
        <b/>
        <sz val="20"/>
        <color theme="1"/>
        <rFont val="Arial"/>
        <family val="2"/>
      </rPr>
      <t>Soportes Acción:</t>
    </r>
    <r>
      <rPr>
        <sz val="20"/>
        <color theme="1"/>
        <rFont val="Arial"/>
        <family val="2"/>
      </rPr>
      <t xml:space="preserve"> Acta de Reunion de revisión del cronograma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</si>
</sst>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d/m/yyyy"/>
  </numFmts>
  <fonts count="55" x14ac:knownFonts="1">
    <font>
      <sz val="11"/>
      <color theme="1"/>
      <name val="Calibri"/>
      <family val="2"/>
      <scheme val="minor"/>
    </font>
    <font>
      <sz val="10"/>
      <color rgb="FF000000"/>
      <name val="Arial Narrow"/>
      <family val="2"/>
    </font>
    <font>
      <b/>
      <sz val="11"/>
      <color theme="1"/>
      <name val="Arial Narrow"/>
      <family val="2"/>
    </font>
    <font>
      <sz val="10"/>
      <color theme="1"/>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36"/>
      <color theme="1"/>
      <name val="Calibri"/>
      <family val="2"/>
      <scheme val="minor"/>
    </font>
    <font>
      <sz val="36"/>
      <color rgb="FF030303"/>
      <name val="Arial"/>
      <family val="2"/>
    </font>
    <font>
      <sz val="20"/>
      <color theme="1"/>
      <name val="Arial"/>
      <family val="2"/>
    </font>
    <font>
      <sz val="11"/>
      <color indexed="8"/>
      <name val="Calibri"/>
      <family val="2"/>
      <charset val="1"/>
    </font>
    <font>
      <sz val="11"/>
      <color rgb="FF000000"/>
      <name val="Calibri"/>
      <family val="2"/>
      <charset val="1"/>
    </font>
    <font>
      <b/>
      <sz val="20"/>
      <name val="Arial"/>
      <family val="2"/>
    </font>
    <font>
      <b/>
      <sz val="20"/>
      <color theme="1"/>
      <name val="Arial"/>
      <family val="2"/>
    </font>
    <font>
      <sz val="20"/>
      <name val="Arial"/>
      <family val="2"/>
    </font>
    <font>
      <sz val="20"/>
      <color rgb="FFFF0000"/>
      <name val="Arial"/>
      <family val="2"/>
    </font>
    <font>
      <sz val="11"/>
      <color rgb="FF9C6500"/>
      <name val="Calibri"/>
      <family val="2"/>
      <scheme val="minor"/>
    </font>
    <font>
      <b/>
      <u/>
      <sz val="20"/>
      <name val="Arial"/>
      <family val="2"/>
    </font>
    <font>
      <u/>
      <sz val="20"/>
      <name val="Arial"/>
      <family val="2"/>
    </font>
    <font>
      <sz val="20"/>
      <color rgb="FF00B050"/>
      <name val="Arial"/>
      <family val="2"/>
    </font>
    <font>
      <sz val="20"/>
      <color indexed="10"/>
      <name val="Arial"/>
      <family val="2"/>
    </font>
    <font>
      <sz val="20"/>
      <color rgb="FF000000"/>
      <name val="Arial"/>
      <family val="2"/>
    </font>
    <font>
      <strike/>
      <sz val="20"/>
      <name val="Arial"/>
      <family val="2"/>
    </font>
    <font>
      <b/>
      <sz val="20"/>
      <color rgb="FF000000"/>
      <name val="Arial"/>
      <family val="2"/>
    </font>
    <font>
      <u/>
      <sz val="20"/>
      <color theme="1"/>
      <name val="Arial"/>
      <family val="2"/>
    </font>
  </fonts>
  <fills count="3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bgColor indexed="26"/>
      </patternFill>
    </fill>
    <fill>
      <patternFill patternType="solid">
        <fgColor indexed="9"/>
        <bgColor indexed="26"/>
      </patternFill>
    </fill>
    <fill>
      <patternFill patternType="solid">
        <fgColor theme="0"/>
        <bgColor theme="0"/>
      </patternFill>
    </fill>
    <fill>
      <patternFill patternType="solid">
        <fgColor theme="7" tint="0.39997558519241921"/>
        <bgColor indexed="64"/>
      </patternFill>
    </fill>
    <fill>
      <patternFill patternType="solid">
        <fgColor theme="0"/>
        <bgColor rgb="FFFFFFFF"/>
      </patternFill>
    </fill>
    <fill>
      <patternFill patternType="solid">
        <fgColor theme="5" tint="0.79998168889431442"/>
        <bgColor rgb="FFFBE4D5"/>
      </patternFill>
    </fill>
    <fill>
      <patternFill patternType="solid">
        <fgColor rgb="FFFFFF00"/>
        <bgColor theme="0"/>
      </patternFill>
    </fill>
    <fill>
      <patternFill patternType="solid">
        <fgColor theme="5" tint="0.79998168889431442"/>
        <bgColor theme="0"/>
      </patternFill>
    </fill>
    <fill>
      <patternFill patternType="solid">
        <fgColor theme="2"/>
        <bgColor indexed="64"/>
      </patternFill>
    </fill>
    <fill>
      <patternFill patternType="solid">
        <fgColor rgb="FFFFFFFF"/>
        <bgColor rgb="FFFBE5D6"/>
      </patternFill>
    </fill>
    <fill>
      <patternFill patternType="solid">
        <fgColor rgb="FFFFFFFF"/>
        <bgColor indexed="64"/>
      </patternFill>
    </fill>
    <fill>
      <patternFill patternType="solid">
        <fgColor rgb="FFFFEB9C"/>
      </patternFill>
    </fill>
    <fill>
      <patternFill patternType="solid">
        <fgColor theme="5" tint="0.79998168889431442"/>
        <bgColor rgb="FFFFFFFF"/>
      </patternFill>
    </fill>
  </fills>
  <borders count="3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35" fillId="0" borderId="0"/>
    <xf numFmtId="0" fontId="36" fillId="0" borderId="0"/>
    <xf numFmtId="0" fontId="3" fillId="0" borderId="0"/>
    <xf numFmtId="0" fontId="10" fillId="0" borderId="0"/>
    <xf numFmtId="0" fontId="40" fillId="0" borderId="0"/>
    <xf numFmtId="0" fontId="41" fillId="0" borderId="0"/>
    <xf numFmtId="0" fontId="46" fillId="32" borderId="0" applyNumberFormat="0" applyBorder="0" applyAlignment="0" applyProtection="0"/>
  </cellStyleXfs>
  <cellXfs count="361">
    <xf numFmtId="0" fontId="0" fillId="0" borderId="0" xfId="0"/>
    <xf numFmtId="0" fontId="3" fillId="0" borderId="0" xfId="0" applyFont="1"/>
    <xf numFmtId="0" fontId="1" fillId="0" borderId="1" xfId="0" applyFont="1" applyBorder="1" applyAlignment="1">
      <alignment horizontal="left" vertical="center" wrapText="1" indent="1" readingOrder="1"/>
    </xf>
    <xf numFmtId="0" fontId="4" fillId="0" borderId="0" xfId="0" applyFont="1" applyAlignment="1">
      <alignment horizontal="center" vertical="center" wrapText="1"/>
    </xf>
    <xf numFmtId="0" fontId="5" fillId="6" borderId="0" xfId="0" applyFont="1" applyFill="1" applyAlignment="1">
      <alignment horizontal="center" vertical="center" wrapText="1" readingOrder="1"/>
    </xf>
    <xf numFmtId="0" fontId="6" fillId="5" borderId="2" xfId="0" applyFont="1" applyFill="1" applyBorder="1" applyAlignment="1">
      <alignment horizontal="center" vertical="center" wrapText="1" readingOrder="1"/>
    </xf>
    <xf numFmtId="0" fontId="6" fillId="0" borderId="2" xfId="0" applyFont="1" applyBorder="1" applyAlignment="1">
      <alignment horizontal="justify" vertical="center" wrapText="1" readingOrder="1"/>
    </xf>
    <xf numFmtId="9" fontId="6" fillId="0" borderId="2" xfId="0" applyNumberFormat="1" applyFont="1" applyBorder="1" applyAlignment="1">
      <alignment horizontal="center" vertical="center" wrapText="1" readingOrder="1"/>
    </xf>
    <xf numFmtId="0" fontId="6" fillId="7" borderId="1" xfId="0" applyFont="1" applyFill="1" applyBorder="1" applyAlignment="1">
      <alignment horizontal="center" vertical="center" wrapText="1" readingOrder="1"/>
    </xf>
    <xf numFmtId="0" fontId="6" fillId="0" borderId="1" xfId="0" applyFont="1" applyBorder="1" applyAlignment="1">
      <alignment horizontal="justify" vertical="center" wrapText="1" readingOrder="1"/>
    </xf>
    <xf numFmtId="9" fontId="6" fillId="0" borderId="1" xfId="0" applyNumberFormat="1" applyFont="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6" fillId="8" borderId="1" xfId="0" applyFont="1" applyFill="1" applyBorder="1" applyAlignment="1">
      <alignment horizontal="center" vertical="center" wrapText="1" readingOrder="1"/>
    </xf>
    <xf numFmtId="0" fontId="7" fillId="9" borderId="1" xfId="0" applyFont="1" applyFill="1" applyBorder="1" applyAlignment="1">
      <alignment horizontal="center" vertical="center" wrapText="1" readingOrder="1"/>
    </xf>
    <xf numFmtId="0" fontId="11" fillId="0" borderId="0" xfId="0" applyFont="1"/>
    <xf numFmtId="0" fontId="9" fillId="0" borderId="0" xfId="0" applyFont="1"/>
    <xf numFmtId="0" fontId="20" fillId="0" borderId="0" xfId="0" applyFont="1" applyFill="1" applyAlignment="1">
      <alignment vertical="center"/>
    </xf>
    <xf numFmtId="0" fontId="21" fillId="0" borderId="0" xfId="0" applyFont="1" applyFill="1"/>
    <xf numFmtId="0" fontId="19" fillId="0" borderId="0" xfId="0" applyFont="1"/>
    <xf numFmtId="0" fontId="0" fillId="0" borderId="0" xfId="0" pivotButton="1"/>
    <xf numFmtId="0" fontId="8" fillId="0" borderId="0" xfId="0" applyFont="1" applyBorder="1" applyAlignment="1">
      <alignment horizontal="justify" vertical="center" wrapText="1" readingOrder="1"/>
    </xf>
    <xf numFmtId="0" fontId="23" fillId="6" borderId="0" xfId="0" applyFont="1" applyFill="1" applyAlignment="1">
      <alignment horizontal="center" vertical="center" wrapText="1" readingOrder="1"/>
    </xf>
    <xf numFmtId="0" fontId="24" fillId="0" borderId="2" xfId="0" applyFont="1" applyBorder="1" applyAlignment="1">
      <alignment horizontal="justify" vertical="center" wrapText="1" readingOrder="1"/>
    </xf>
    <xf numFmtId="0" fontId="24" fillId="0" borderId="1" xfId="0" applyFont="1" applyBorder="1" applyAlignment="1">
      <alignment horizontal="justify" vertical="center" wrapText="1" readingOrder="1"/>
    </xf>
    <xf numFmtId="0" fontId="24" fillId="5" borderId="2" xfId="0" applyFont="1" applyFill="1" applyBorder="1" applyAlignment="1">
      <alignment horizontal="center" vertical="center" wrapText="1" readingOrder="1"/>
    </xf>
    <xf numFmtId="0" fontId="24" fillId="7" borderId="1" xfId="0" applyFont="1" applyFill="1" applyBorder="1" applyAlignment="1">
      <alignment horizontal="center" vertical="center" wrapText="1" readingOrder="1"/>
    </xf>
    <xf numFmtId="0" fontId="24" fillId="4" borderId="1" xfId="0" applyFont="1" applyFill="1" applyBorder="1" applyAlignment="1">
      <alignment horizontal="center" vertical="center" wrapText="1" readingOrder="1"/>
    </xf>
    <xf numFmtId="0" fontId="24" fillId="8" borderId="1" xfId="0" applyFont="1" applyFill="1" applyBorder="1" applyAlignment="1">
      <alignment horizontal="center" vertical="center" wrapText="1" readingOrder="1"/>
    </xf>
    <xf numFmtId="0" fontId="25" fillId="9" borderId="1" xfId="0" applyFont="1" applyFill="1" applyBorder="1" applyAlignment="1">
      <alignment horizontal="center" vertical="center" wrapText="1" readingOrder="1"/>
    </xf>
    <xf numFmtId="0" fontId="24" fillId="0" borderId="2" xfId="0" applyFont="1" applyBorder="1" applyAlignment="1">
      <alignment horizontal="center" vertical="center" wrapText="1" readingOrder="1"/>
    </xf>
    <xf numFmtId="0" fontId="24" fillId="0" borderId="1" xfId="0" applyFont="1" applyBorder="1" applyAlignment="1">
      <alignment horizontal="center" vertical="center" wrapText="1" readingOrder="1"/>
    </xf>
    <xf numFmtId="0" fontId="0" fillId="3" borderId="0" xfId="0" applyFill="1"/>
    <xf numFmtId="0" fontId="12" fillId="3" borderId="0" xfId="0" applyFont="1" applyFill="1" applyAlignment="1">
      <alignment vertical="center"/>
    </xf>
    <xf numFmtId="0" fontId="3" fillId="3" borderId="0" xfId="0" applyFont="1" applyFill="1"/>
    <xf numFmtId="0" fontId="27" fillId="3" borderId="0" xfId="0" applyFont="1" applyFill="1"/>
    <xf numFmtId="0" fontId="28" fillId="3" borderId="20" xfId="0" applyFont="1" applyFill="1" applyBorder="1" applyAlignment="1">
      <alignment horizontal="center" vertical="center" wrapText="1" readingOrder="1"/>
    </xf>
    <xf numFmtId="0" fontId="29" fillId="3" borderId="20" xfId="0" applyFont="1" applyFill="1" applyBorder="1" applyAlignment="1">
      <alignment horizontal="justify" vertical="center" wrapText="1" readingOrder="1"/>
    </xf>
    <xf numFmtId="9" fontId="28" fillId="3" borderId="29" xfId="0" applyNumberFormat="1" applyFont="1" applyFill="1" applyBorder="1" applyAlignment="1">
      <alignment horizontal="center" vertical="center" wrapText="1" readingOrder="1"/>
    </xf>
    <xf numFmtId="0" fontId="28" fillId="3" borderId="19" xfId="0" applyFont="1" applyFill="1" applyBorder="1" applyAlignment="1">
      <alignment horizontal="center" vertical="center" wrapText="1" readingOrder="1"/>
    </xf>
    <xf numFmtId="0" fontId="29" fillId="3" borderId="19" xfId="0" applyFont="1" applyFill="1" applyBorder="1" applyAlignment="1">
      <alignment horizontal="justify" vertical="center" wrapText="1" readingOrder="1"/>
    </xf>
    <xf numFmtId="9" fontId="28" fillId="3" borderId="24" xfId="0" applyNumberFormat="1" applyFont="1" applyFill="1" applyBorder="1" applyAlignment="1">
      <alignment horizontal="center" vertical="center" wrapText="1" readingOrder="1"/>
    </xf>
    <xf numFmtId="0" fontId="29" fillId="3" borderId="24" xfId="0" applyFont="1" applyFill="1" applyBorder="1" applyAlignment="1">
      <alignment horizontal="center" vertical="center" wrapText="1" readingOrder="1"/>
    </xf>
    <xf numFmtId="0" fontId="28" fillId="3" borderId="26" xfId="0" applyFont="1" applyFill="1" applyBorder="1" applyAlignment="1">
      <alignment horizontal="center" vertical="center" wrapText="1" readingOrder="1"/>
    </xf>
    <xf numFmtId="0" fontId="29" fillId="3" borderId="26" xfId="0" applyFont="1" applyFill="1" applyBorder="1" applyAlignment="1">
      <alignment horizontal="justify" vertical="center" wrapText="1" readingOrder="1"/>
    </xf>
    <xf numFmtId="0" fontId="29" fillId="3" borderId="27" xfId="0" applyFont="1" applyFill="1" applyBorder="1" applyAlignment="1">
      <alignment horizontal="center" vertical="center" wrapText="1" readingOrder="1"/>
    </xf>
    <xf numFmtId="0" fontId="34" fillId="3" borderId="0" xfId="0" applyFont="1" applyFill="1"/>
    <xf numFmtId="0" fontId="28" fillId="14" borderId="31" xfId="0" applyFont="1" applyFill="1" applyBorder="1" applyAlignment="1">
      <alignment horizontal="center" vertical="center" wrapText="1" readingOrder="1"/>
    </xf>
    <xf numFmtId="0" fontId="28" fillId="14" borderId="32" xfId="0" applyFont="1" applyFill="1" applyBorder="1" applyAlignment="1">
      <alignment horizontal="center" vertical="center" wrapText="1" readingOrder="1"/>
    </xf>
    <xf numFmtId="0" fontId="9" fillId="3" borderId="0" xfId="0" applyFont="1" applyFill="1"/>
    <xf numFmtId="0" fontId="22" fillId="3" borderId="0" xfId="0" applyFont="1" applyFill="1" applyAlignment="1">
      <alignment horizontal="center" vertical="center" wrapText="1"/>
    </xf>
    <xf numFmtId="0" fontId="8" fillId="3" borderId="0" xfId="0" applyFont="1" applyFill="1" applyBorder="1" applyAlignment="1">
      <alignment horizontal="justify" vertical="center" wrapText="1" readingOrder="1"/>
    </xf>
    <xf numFmtId="0" fontId="2" fillId="3" borderId="0" xfId="0" applyFont="1" applyFill="1" applyAlignment="1">
      <alignment vertical="center"/>
    </xf>
    <xf numFmtId="0" fontId="11" fillId="3" borderId="0" xfId="0" applyFont="1" applyFill="1"/>
    <xf numFmtId="0" fontId="2" fillId="3" borderId="0" xfId="0" applyFont="1" applyFill="1" applyAlignment="1">
      <alignment horizontal="left" vertical="center"/>
    </xf>
    <xf numFmtId="0" fontId="37" fillId="0" borderId="0" xfId="0" pivotButton="1" applyFont="1"/>
    <xf numFmtId="0" fontId="37" fillId="0" borderId="0" xfId="0" applyFont="1"/>
    <xf numFmtId="0" fontId="38" fillId="0" borderId="0" xfId="0" applyFont="1"/>
    <xf numFmtId="0" fontId="10" fillId="0" borderId="0" xfId="4"/>
    <xf numFmtId="0" fontId="44" fillId="0" borderId="19" xfId="0" applyFont="1" applyBorder="1" applyAlignment="1">
      <alignment horizontal="center" vertical="center" wrapText="1"/>
    </xf>
    <xf numFmtId="0" fontId="44" fillId="29" borderId="19" xfId="0" applyFont="1" applyFill="1" applyBorder="1" applyAlignment="1">
      <alignment horizontal="center" vertical="center" wrapText="1"/>
    </xf>
    <xf numFmtId="0" fontId="43" fillId="19" borderId="34" xfId="0" applyFont="1" applyFill="1" applyBorder="1" applyAlignment="1">
      <alignment horizontal="center" wrapText="1"/>
    </xf>
    <xf numFmtId="1" fontId="39" fillId="0" borderId="19" xfId="0" applyNumberFormat="1" applyFont="1" applyBorder="1" applyAlignment="1">
      <alignment horizontal="center" wrapText="1"/>
    </xf>
    <xf numFmtId="1" fontId="39" fillId="0" borderId="19" xfId="0" applyNumberFormat="1" applyFont="1" applyFill="1" applyBorder="1" applyAlignment="1">
      <alignment horizontal="center" wrapText="1"/>
    </xf>
    <xf numFmtId="1" fontId="44" fillId="0" borderId="19" xfId="0" applyNumberFormat="1" applyFont="1" applyBorder="1" applyAlignment="1">
      <alignment horizontal="center" wrapText="1"/>
    </xf>
    <xf numFmtId="0" fontId="44" fillId="15" borderId="19" xfId="0" applyFont="1" applyFill="1" applyBorder="1" applyAlignment="1">
      <alignment horizontal="center" vertical="center" wrapText="1"/>
    </xf>
    <xf numFmtId="0" fontId="44" fillId="15" borderId="19" xfId="0" applyFont="1" applyFill="1" applyBorder="1" applyAlignment="1">
      <alignment horizontal="justify" vertical="center"/>
    </xf>
    <xf numFmtId="0" fontId="44" fillId="17" borderId="20" xfId="0" applyFont="1" applyFill="1" applyBorder="1" applyAlignment="1" applyProtection="1">
      <alignment horizontal="left" vertical="center" wrapText="1"/>
    </xf>
    <xf numFmtId="0" fontId="42" fillId="17" borderId="20" xfId="0" applyFont="1" applyFill="1" applyBorder="1" applyAlignment="1" applyProtection="1">
      <alignment horizontal="left" vertical="center" wrapText="1"/>
    </xf>
    <xf numFmtId="0" fontId="42" fillId="17" borderId="20" xfId="0" applyFont="1" applyFill="1" applyBorder="1" applyAlignment="1" applyProtection="1">
      <alignment horizontal="center" wrapText="1"/>
    </xf>
    <xf numFmtId="0" fontId="42" fillId="18" borderId="34" xfId="0" applyFont="1" applyFill="1" applyBorder="1" applyAlignment="1">
      <alignment horizontal="center" wrapText="1"/>
    </xf>
    <xf numFmtId="0" fontId="42" fillId="16" borderId="19" xfId="0" applyFont="1" applyFill="1" applyBorder="1" applyAlignment="1">
      <alignment horizontal="justify" vertical="center" wrapText="1"/>
    </xf>
    <xf numFmtId="0" fontId="39" fillId="0" borderId="0" xfId="0" applyFont="1"/>
    <xf numFmtId="0" fontId="39" fillId="0" borderId="0" xfId="0" applyFont="1" applyFill="1"/>
    <xf numFmtId="0" fontId="44" fillId="0" borderId="19" xfId="0" applyFont="1" applyFill="1" applyBorder="1" applyAlignment="1">
      <alignment horizontal="justify" vertical="center" wrapText="1"/>
    </xf>
    <xf numFmtId="0" fontId="44" fillId="0" borderId="19" xfId="0" applyFont="1" applyFill="1" applyBorder="1" applyAlignment="1">
      <alignment horizontal="center" wrapText="1"/>
    </xf>
    <xf numFmtId="0" fontId="44" fillId="0" borderId="19" xfId="0" applyFont="1" applyFill="1" applyBorder="1" applyAlignment="1">
      <alignment horizontal="left" vertical="center" wrapText="1"/>
    </xf>
    <xf numFmtId="0" fontId="44" fillId="0" borderId="19" xfId="0" applyFont="1" applyFill="1" applyBorder="1" applyAlignment="1">
      <alignment horizontal="center" vertical="center" wrapText="1"/>
    </xf>
    <xf numFmtId="0" fontId="44" fillId="0" borderId="0" xfId="0" applyFont="1"/>
    <xf numFmtId="0" fontId="44" fillId="0" borderId="19" xfId="0" applyFont="1" applyFill="1" applyBorder="1" applyAlignment="1">
      <alignment horizontal="left" vertical="top" wrapText="1"/>
    </xf>
    <xf numFmtId="0" fontId="39" fillId="3" borderId="19" xfId="0" applyFont="1" applyFill="1" applyBorder="1" applyAlignment="1">
      <alignment horizontal="center" vertical="center" wrapText="1"/>
    </xf>
    <xf numFmtId="0" fontId="39" fillId="0" borderId="19" xfId="0" applyFont="1" applyBorder="1" applyAlignment="1">
      <alignment vertical="center" wrapText="1"/>
    </xf>
    <xf numFmtId="0" fontId="44" fillId="3" borderId="19" xfId="0" applyFont="1" applyFill="1" applyBorder="1" applyAlignment="1">
      <alignment horizontal="center" wrapText="1"/>
    </xf>
    <xf numFmtId="0" fontId="44" fillId="13" borderId="19" xfId="0" applyFont="1" applyFill="1" applyBorder="1" applyAlignment="1">
      <alignment horizontal="center" wrapText="1"/>
    </xf>
    <xf numFmtId="0" fontId="39" fillId="3" borderId="19" xfId="0" applyFont="1" applyFill="1" applyBorder="1" applyAlignment="1">
      <alignment horizontal="center" wrapText="1"/>
    </xf>
    <xf numFmtId="0" fontId="39" fillId="3" borderId="19" xfId="0" applyFont="1" applyFill="1" applyBorder="1" applyAlignment="1">
      <alignment vertical="center" wrapText="1"/>
    </xf>
    <xf numFmtId="0" fontId="44" fillId="3" borderId="19" xfId="0" applyFont="1" applyFill="1" applyBorder="1" applyAlignment="1">
      <alignment horizontal="center" vertical="center" wrapText="1"/>
    </xf>
    <xf numFmtId="0" fontId="39" fillId="0" borderId="19" xfId="0" applyFont="1" applyBorder="1" applyAlignment="1">
      <alignment horizontal="center" vertical="center" wrapText="1"/>
    </xf>
    <xf numFmtId="0" fontId="39" fillId="16" borderId="19" xfId="0" applyFont="1" applyFill="1" applyBorder="1" applyAlignment="1">
      <alignment vertical="center" wrapText="1"/>
    </xf>
    <xf numFmtId="164" fontId="39" fillId="0" borderId="19" xfId="0" applyNumberFormat="1" applyFont="1" applyBorder="1" applyAlignment="1">
      <alignment horizontal="center" vertical="center" wrapText="1"/>
    </xf>
    <xf numFmtId="0" fontId="44" fillId="3" borderId="19" xfId="0" applyFont="1" applyFill="1" applyBorder="1" applyAlignment="1">
      <alignment horizontal="justify" vertical="top" wrapText="1"/>
    </xf>
    <xf numFmtId="0" fontId="39" fillId="0" borderId="19" xfId="0" applyFont="1" applyBorder="1" applyAlignment="1">
      <alignment horizontal="left" vertical="center" wrapText="1"/>
    </xf>
    <xf numFmtId="0" fontId="39" fillId="0" borderId="19" xfId="0" applyFont="1" applyFill="1" applyBorder="1" applyAlignment="1">
      <alignment horizontal="center" wrapText="1"/>
    </xf>
    <xf numFmtId="0" fontId="39" fillId="13" borderId="19" xfId="0" applyFont="1" applyFill="1" applyBorder="1" applyAlignment="1">
      <alignment horizontal="center" wrapText="1"/>
    </xf>
    <xf numFmtId="0" fontId="39" fillId="13" borderId="19" xfId="0" applyFont="1" applyFill="1" applyBorder="1" applyAlignment="1">
      <alignment horizontal="center" vertical="center" wrapText="1"/>
    </xf>
    <xf numFmtId="0" fontId="44" fillId="0" borderId="19" xfId="0" applyFont="1" applyFill="1" applyBorder="1" applyAlignment="1" applyProtection="1">
      <alignment horizontal="left" vertical="center" wrapText="1"/>
    </xf>
    <xf numFmtId="0" fontId="44" fillId="3" borderId="19" xfId="0" applyFont="1" applyFill="1" applyBorder="1" applyAlignment="1">
      <alignment horizontal="left" vertical="center"/>
    </xf>
    <xf numFmtId="0" fontId="44" fillId="3" borderId="19" xfId="0" applyFont="1" applyFill="1" applyBorder="1" applyAlignment="1">
      <alignment horizontal="left" vertical="center" wrapText="1"/>
    </xf>
    <xf numFmtId="0" fontId="44" fillId="3" borderId="19" xfId="0" applyFont="1" applyFill="1" applyBorder="1" applyAlignment="1">
      <alignment vertical="center" wrapText="1"/>
    </xf>
    <xf numFmtId="0" fontId="44" fillId="0" borderId="19" xfId="0" applyFont="1" applyBorder="1" applyAlignment="1">
      <alignment vertical="center" wrapText="1"/>
    </xf>
    <xf numFmtId="0" fontId="42" fillId="0" borderId="19" xfId="0" applyFont="1" applyFill="1" applyBorder="1" applyAlignment="1">
      <alignment horizontal="center" wrapText="1"/>
    </xf>
    <xf numFmtId="0" fontId="45" fillId="0" borderId="19" xfId="0" applyFont="1" applyFill="1" applyBorder="1" applyAlignment="1">
      <alignment horizontal="left" vertical="center" wrapText="1"/>
    </xf>
    <xf numFmtId="0" fontId="44" fillId="0" borderId="19" xfId="0" applyFont="1" applyBorder="1" applyAlignment="1">
      <alignment horizontal="center" vertical="center"/>
    </xf>
    <xf numFmtId="0" fontId="39" fillId="0" borderId="19" xfId="0" applyFont="1" applyFill="1" applyBorder="1" applyAlignment="1">
      <alignment horizontal="left" vertical="center" wrapText="1"/>
    </xf>
    <xf numFmtId="0" fontId="42" fillId="0" borderId="19" xfId="0" applyFont="1" applyFill="1" applyBorder="1" applyAlignment="1">
      <alignment horizontal="left" vertical="center" wrapText="1"/>
    </xf>
    <xf numFmtId="0" fontId="39" fillId="0" borderId="19" xfId="0" applyFont="1" applyFill="1" applyBorder="1" applyAlignment="1">
      <alignment horizontal="justify" vertical="top" wrapText="1"/>
    </xf>
    <xf numFmtId="0" fontId="44" fillId="3" borderId="19" xfId="0" applyFont="1" applyFill="1" applyBorder="1" applyAlignment="1" applyProtection="1">
      <alignment vertical="center" wrapText="1"/>
    </xf>
    <xf numFmtId="0" fontId="39" fillId="23" borderId="19" xfId="0" applyFont="1" applyFill="1" applyBorder="1" applyAlignment="1">
      <alignment horizontal="center" wrapText="1"/>
    </xf>
    <xf numFmtId="0" fontId="43" fillId="24" borderId="19" xfId="0" applyFont="1" applyFill="1" applyBorder="1" applyAlignment="1">
      <alignment horizontal="center" wrapText="1"/>
    </xf>
    <xf numFmtId="0" fontId="39" fillId="0" borderId="19" xfId="0" applyFont="1" applyBorder="1" applyAlignment="1">
      <alignment horizontal="center" wrapText="1"/>
    </xf>
    <xf numFmtId="0" fontId="51" fillId="0" borderId="19" xfId="0" applyFont="1" applyBorder="1" applyAlignment="1">
      <alignment horizontal="center" vertical="center" wrapText="1"/>
    </xf>
    <xf numFmtId="0" fontId="43" fillId="0" borderId="19" xfId="0" applyFont="1" applyBorder="1" applyAlignment="1">
      <alignment horizontal="center" vertical="center" wrapText="1"/>
    </xf>
    <xf numFmtId="0" fontId="44" fillId="25" borderId="19" xfId="0" applyFont="1" applyFill="1" applyBorder="1" applyAlignment="1">
      <alignment horizontal="center" vertical="center" wrapText="1"/>
    </xf>
    <xf numFmtId="165" fontId="39" fillId="0" borderId="19" xfId="0" applyNumberFormat="1" applyFont="1" applyBorder="1" applyAlignment="1">
      <alignment horizontal="center" vertical="center" wrapText="1"/>
    </xf>
    <xf numFmtId="0" fontId="44" fillId="23" borderId="19"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39" fillId="23" borderId="19" xfId="0" applyFont="1" applyFill="1" applyBorder="1" applyAlignment="1">
      <alignment horizontal="center" vertical="center" wrapText="1"/>
    </xf>
    <xf numFmtId="0" fontId="39" fillId="23" borderId="19" xfId="0" applyFont="1" applyFill="1" applyBorder="1" applyAlignment="1">
      <alignment horizontal="center"/>
    </xf>
    <xf numFmtId="0" fontId="43" fillId="27" borderId="19" xfId="0" applyFont="1" applyFill="1" applyBorder="1" applyAlignment="1">
      <alignment horizontal="center"/>
    </xf>
    <xf numFmtId="0" fontId="39" fillId="0" borderId="19" xfId="0" applyFont="1" applyFill="1" applyBorder="1" applyAlignment="1">
      <alignment horizontal="center" vertical="center" wrapText="1"/>
    </xf>
    <xf numFmtId="0" fontId="39" fillId="23" borderId="19" xfId="0" applyFont="1" applyFill="1" applyBorder="1" applyAlignment="1">
      <alignment horizontal="center" vertical="center"/>
    </xf>
    <xf numFmtId="0" fontId="44" fillId="28" borderId="19" xfId="0" applyFont="1" applyFill="1" applyBorder="1" applyAlignment="1">
      <alignment horizontal="center" vertical="center" wrapText="1"/>
    </xf>
    <xf numFmtId="0" fontId="39" fillId="0" borderId="19" xfId="0" applyFont="1" applyFill="1" applyBorder="1" applyAlignment="1">
      <alignment horizontal="center"/>
    </xf>
    <xf numFmtId="0" fontId="39" fillId="0" borderId="19" xfId="0" applyFont="1" applyFill="1" applyBorder="1" applyAlignment="1">
      <alignment horizontal="justify" vertical="top"/>
    </xf>
    <xf numFmtId="0" fontId="43" fillId="0" borderId="19" xfId="0" applyFont="1" applyFill="1" applyBorder="1" applyAlignment="1">
      <alignment horizontal="center" wrapText="1"/>
    </xf>
    <xf numFmtId="0" fontId="39" fillId="29" borderId="19" xfId="0" applyFont="1" applyFill="1" applyBorder="1" applyAlignment="1">
      <alignment horizontal="center" vertical="center" wrapText="1"/>
    </xf>
    <xf numFmtId="0" fontId="51" fillId="29" borderId="19" xfId="0" applyFont="1" applyFill="1" applyBorder="1" applyAlignment="1">
      <alignment horizontal="center" vertical="center" wrapText="1"/>
    </xf>
    <xf numFmtId="165" fontId="39" fillId="3" borderId="19" xfId="0" applyNumberFormat="1" applyFont="1" applyFill="1" applyBorder="1" applyAlignment="1">
      <alignment horizontal="center" vertical="center" wrapText="1"/>
    </xf>
    <xf numFmtId="0" fontId="44" fillId="0" borderId="19" xfId="0" applyFont="1" applyFill="1" applyBorder="1" applyAlignment="1" applyProtection="1">
      <alignment vertical="center" wrapText="1"/>
    </xf>
    <xf numFmtId="0" fontId="44" fillId="0" borderId="19" xfId="0" applyFont="1" applyFill="1" applyBorder="1" applyAlignment="1">
      <alignment vertical="center" wrapText="1"/>
    </xf>
    <xf numFmtId="0" fontId="44" fillId="3" borderId="19" xfId="0" applyFont="1" applyFill="1" applyBorder="1" applyAlignment="1">
      <alignment horizontal="center" vertical="center"/>
    </xf>
    <xf numFmtId="0" fontId="44" fillId="3" borderId="19" xfId="0" applyFont="1" applyFill="1" applyBorder="1" applyAlignment="1">
      <alignment vertical="center"/>
    </xf>
    <xf numFmtId="0" fontId="44" fillId="8" borderId="19" xfId="0" applyFont="1" applyFill="1" applyBorder="1" applyAlignment="1">
      <alignment horizontal="center" wrapText="1"/>
    </xf>
    <xf numFmtId="0" fontId="44" fillId="8" borderId="19" xfId="0" applyFont="1" applyFill="1" applyBorder="1" applyAlignment="1">
      <alignment vertical="center"/>
    </xf>
    <xf numFmtId="0" fontId="39" fillId="0" borderId="19" xfId="0" applyFont="1" applyBorder="1" applyAlignment="1">
      <alignment horizontal="justify" vertical="top" wrapText="1"/>
    </xf>
    <xf numFmtId="0" fontId="42" fillId="3" borderId="19" xfId="0" applyFont="1" applyFill="1" applyBorder="1" applyAlignment="1">
      <alignment horizontal="left" vertical="center" wrapText="1"/>
    </xf>
    <xf numFmtId="0" fontId="44" fillId="3" borderId="19" xfId="0" applyFont="1" applyFill="1" applyBorder="1" applyAlignment="1">
      <alignment horizontal="left" vertical="top" wrapText="1"/>
    </xf>
    <xf numFmtId="0" fontId="44" fillId="21" borderId="19" xfId="5" applyFont="1" applyFill="1" applyBorder="1" applyAlignment="1">
      <alignment horizontal="left" vertical="center" wrapText="1"/>
    </xf>
    <xf numFmtId="0" fontId="44" fillId="0" borderId="19" xfId="0" applyFont="1" applyBorder="1" applyAlignment="1">
      <alignment horizontal="justify" vertical="top" wrapText="1"/>
    </xf>
    <xf numFmtId="0" fontId="44" fillId="0" borderId="19" xfId="0" applyFont="1" applyBorder="1" applyAlignment="1">
      <alignment horizontal="center" wrapText="1"/>
    </xf>
    <xf numFmtId="0" fontId="44" fillId="30" borderId="19" xfId="0" applyFont="1" applyFill="1" applyBorder="1" applyAlignment="1">
      <alignment horizontal="left" vertical="center" wrapText="1"/>
    </xf>
    <xf numFmtId="0" fontId="44" fillId="0" borderId="19" xfId="0" applyFont="1" applyBorder="1" applyAlignment="1">
      <alignment horizontal="left" vertical="center" wrapText="1"/>
    </xf>
    <xf numFmtId="0" fontId="44" fillId="30" borderId="19" xfId="0" applyFont="1" applyFill="1" applyBorder="1" applyAlignment="1">
      <alignment horizontal="left" vertical="center"/>
    </xf>
    <xf numFmtId="0" fontId="44" fillId="30" borderId="19" xfId="0" applyFont="1" applyFill="1" applyBorder="1" applyAlignment="1">
      <alignment horizontal="center" wrapText="1"/>
    </xf>
    <xf numFmtId="0" fontId="42" fillId="0" borderId="19" xfId="0" applyFont="1" applyBorder="1" applyAlignment="1">
      <alignment horizontal="center" wrapText="1"/>
    </xf>
    <xf numFmtId="0" fontId="44" fillId="20" borderId="19" xfId="0" applyFont="1" applyFill="1" applyBorder="1" applyAlignment="1">
      <alignment horizontal="left" vertical="center" wrapText="1"/>
    </xf>
    <xf numFmtId="0" fontId="44" fillId="30" borderId="19" xfId="0" applyFont="1" applyFill="1" applyBorder="1" applyAlignment="1">
      <alignment horizontal="justify" vertical="center" wrapText="1"/>
    </xf>
    <xf numFmtId="0" fontId="44" fillId="20" borderId="19" xfId="0" applyFont="1" applyFill="1" applyBorder="1" applyAlignment="1">
      <alignment horizontal="left" vertical="center"/>
    </xf>
    <xf numFmtId="0" fontId="42" fillId="4" borderId="19" xfId="0" applyFont="1" applyFill="1" applyBorder="1" applyAlignment="1">
      <alignment horizontal="left" vertical="center" wrapText="1"/>
    </xf>
    <xf numFmtId="0" fontId="44" fillId="20" borderId="19" xfId="6" applyFont="1" applyFill="1" applyBorder="1" applyAlignment="1">
      <alignment horizontal="left" vertical="center" wrapText="1"/>
    </xf>
    <xf numFmtId="0" fontId="44" fillId="3" borderId="19" xfId="6" applyFont="1" applyFill="1" applyBorder="1" applyAlignment="1">
      <alignment horizontal="left" vertical="center" wrapText="1"/>
    </xf>
    <xf numFmtId="0" fontId="44" fillId="0" borderId="19" xfId="0" applyFont="1" applyBorder="1" applyAlignment="1" applyProtection="1">
      <alignment horizontal="left" vertical="center" wrapText="1"/>
    </xf>
    <xf numFmtId="0" fontId="49" fillId="3" borderId="19" xfId="0" applyFont="1" applyFill="1" applyBorder="1" applyAlignment="1">
      <alignment horizontal="left" vertical="center" wrapText="1"/>
    </xf>
    <xf numFmtId="0" fontId="44" fillId="20" borderId="19" xfId="0" applyFont="1" applyFill="1" applyBorder="1" applyAlignment="1">
      <alignment horizontal="center" wrapText="1"/>
    </xf>
    <xf numFmtId="0" fontId="51" fillId="0" borderId="19" xfId="0" applyFont="1" applyBorder="1" applyAlignment="1">
      <alignment horizontal="left" vertical="center" wrapText="1"/>
    </xf>
    <xf numFmtId="0" fontId="44" fillId="30" borderId="19" xfId="6" applyFont="1" applyFill="1" applyBorder="1" applyAlignment="1">
      <alignment horizontal="left" vertical="center" wrapText="1"/>
    </xf>
    <xf numFmtId="1" fontId="44" fillId="30" borderId="19" xfId="0" applyNumberFormat="1" applyFont="1" applyFill="1" applyBorder="1" applyAlignment="1">
      <alignment horizontal="left" vertical="center" wrapText="1"/>
    </xf>
    <xf numFmtId="0" fontId="44" fillId="0" borderId="19" xfId="6" applyFont="1" applyBorder="1" applyAlignment="1">
      <alignment horizontal="left" vertical="center" wrapText="1"/>
    </xf>
    <xf numFmtId="14" fontId="44" fillId="3" borderId="19" xfId="0" applyNumberFormat="1" applyFont="1" applyFill="1" applyBorder="1" applyAlignment="1">
      <alignment horizontal="left" vertical="center" wrapText="1"/>
    </xf>
    <xf numFmtId="0" fontId="39" fillId="0" borderId="0" xfId="0" applyFont="1" applyAlignment="1">
      <alignment horizontal="center"/>
    </xf>
    <xf numFmtId="0" fontId="39" fillId="15" borderId="19" xfId="0" applyFont="1" applyFill="1" applyBorder="1" applyAlignment="1">
      <alignment horizontal="center" vertical="center" wrapText="1"/>
    </xf>
    <xf numFmtId="0" fontId="39" fillId="28" borderId="19" xfId="0" applyFont="1" applyFill="1" applyBorder="1" applyAlignment="1">
      <alignment horizontal="center"/>
    </xf>
    <xf numFmtId="0" fontId="45" fillId="15" borderId="19" xfId="0" applyFont="1" applyFill="1" applyBorder="1" applyAlignment="1">
      <alignment vertical="center" wrapText="1"/>
    </xf>
    <xf numFmtId="0" fontId="44" fillId="15" borderId="19" xfId="0" applyFont="1" applyFill="1" applyBorder="1" applyAlignment="1">
      <alignment horizontal="left" vertical="center" wrapText="1"/>
    </xf>
    <xf numFmtId="0" fontId="42" fillId="17" borderId="36" xfId="0" applyFont="1" applyFill="1" applyBorder="1" applyAlignment="1" applyProtection="1">
      <alignment horizontal="left" vertical="center" wrapText="1"/>
    </xf>
    <xf numFmtId="0" fontId="44" fillId="0" borderId="37" xfId="0" applyFont="1" applyFill="1" applyBorder="1" applyAlignment="1">
      <alignment horizontal="left" vertical="center" wrapText="1"/>
    </xf>
    <xf numFmtId="0" fontId="44" fillId="0" borderId="37" xfId="0" applyFont="1" applyFill="1" applyBorder="1" applyAlignment="1">
      <alignment horizontal="center" vertical="center" wrapText="1"/>
    </xf>
    <xf numFmtId="0" fontId="44" fillId="0" borderId="37" xfId="0" applyFont="1" applyBorder="1" applyAlignment="1">
      <alignment horizontal="center" vertical="center" wrapText="1"/>
    </xf>
    <xf numFmtId="0" fontId="44" fillId="3" borderId="37" xfId="0" applyFont="1" applyFill="1" applyBorder="1" applyAlignment="1">
      <alignment horizontal="center" vertical="center" wrapText="1"/>
    </xf>
    <xf numFmtId="0" fontId="44" fillId="3" borderId="37" xfId="0" applyFont="1" applyFill="1" applyBorder="1" applyAlignment="1">
      <alignment horizontal="left" vertical="center" wrapText="1"/>
    </xf>
    <xf numFmtId="0" fontId="39" fillId="0" borderId="37" xfId="0" applyFont="1" applyFill="1" applyBorder="1" applyAlignment="1">
      <alignment horizontal="center" vertical="center" wrapText="1"/>
    </xf>
    <xf numFmtId="0" fontId="39" fillId="23" borderId="37" xfId="0" applyFont="1" applyFill="1" applyBorder="1" applyAlignment="1">
      <alignment horizontal="center"/>
    </xf>
    <xf numFmtId="0" fontId="44" fillId="0" borderId="37" xfId="0" applyFont="1" applyFill="1" applyBorder="1" applyAlignment="1">
      <alignment vertical="center" wrapText="1"/>
    </xf>
    <xf numFmtId="0" fontId="44" fillId="3" borderId="37" xfId="0" applyFont="1" applyFill="1" applyBorder="1" applyAlignment="1">
      <alignment vertical="center" wrapText="1"/>
    </xf>
    <xf numFmtId="0" fontId="44" fillId="20" borderId="37" xfId="0" applyFont="1" applyFill="1" applyBorder="1" applyAlignment="1">
      <alignment horizontal="left" vertical="center" wrapText="1"/>
    </xf>
    <xf numFmtId="0" fontId="42" fillId="17" borderId="19" xfId="0" applyFont="1" applyFill="1" applyBorder="1" applyAlignment="1" applyProtection="1">
      <alignment horizontal="left" vertical="center" wrapText="1"/>
    </xf>
    <xf numFmtId="0" fontId="42" fillId="15" borderId="19" xfId="0" applyFont="1" applyFill="1" applyBorder="1" applyAlignment="1">
      <alignment vertical="center" wrapText="1"/>
    </xf>
    <xf numFmtId="0" fontId="53" fillId="0" borderId="19" xfId="0" applyFont="1" applyBorder="1"/>
    <xf numFmtId="0" fontId="39" fillId="0" borderId="19" xfId="0" applyFont="1" applyFill="1" applyBorder="1" applyAlignment="1">
      <alignment horizontal="justify" vertical="center" wrapText="1"/>
    </xf>
    <xf numFmtId="0" fontId="39" fillId="0" borderId="0" xfId="0" applyFont="1" applyAlignment="1">
      <alignment horizontal="justify" vertical="center"/>
    </xf>
    <xf numFmtId="0" fontId="39" fillId="31" borderId="19" xfId="0" applyFont="1" applyFill="1" applyBorder="1" applyAlignment="1">
      <alignment horizontal="justify" vertical="top" wrapText="1"/>
    </xf>
    <xf numFmtId="0" fontId="39" fillId="0" borderId="0" xfId="0" applyFont="1" applyAlignment="1">
      <alignment horizontal="justify" vertical="top"/>
    </xf>
    <xf numFmtId="0" fontId="44" fillId="0" borderId="19" xfId="0" applyFont="1" applyFill="1" applyBorder="1" applyAlignment="1">
      <alignment horizontal="center" vertical="center" wrapText="1"/>
    </xf>
    <xf numFmtId="0" fontId="39" fillId="23" borderId="19" xfId="0" applyFont="1" applyFill="1" applyBorder="1" applyAlignment="1">
      <alignment horizontal="justify" vertical="top" wrapText="1"/>
    </xf>
    <xf numFmtId="0" fontId="42" fillId="32" borderId="19" xfId="7" applyFont="1" applyBorder="1" applyAlignment="1">
      <alignment horizontal="center" vertical="center" wrapText="1"/>
    </xf>
    <xf numFmtId="0" fontId="39" fillId="0" borderId="0" xfId="0" applyFont="1" applyAlignment="1">
      <alignment horizontal="center"/>
    </xf>
    <xf numFmtId="0" fontId="39" fillId="0" borderId="35" xfId="0" applyFont="1" applyBorder="1" applyAlignment="1">
      <alignment horizontal="center"/>
    </xf>
    <xf numFmtId="0" fontId="42" fillId="2" borderId="34" xfId="0" applyFont="1" applyFill="1" applyBorder="1" applyAlignment="1">
      <alignment horizontal="center" vertical="center" wrapText="1"/>
    </xf>
    <xf numFmtId="0" fontId="42" fillId="2" borderId="20" xfId="0" applyFont="1" applyFill="1" applyBorder="1" applyAlignment="1">
      <alignment horizontal="center" vertical="center" wrapText="1"/>
    </xf>
    <xf numFmtId="0" fontId="44" fillId="0" borderId="19" xfId="4" applyFont="1" applyBorder="1" applyAlignment="1">
      <alignment horizontal="center" vertical="center" wrapText="1"/>
    </xf>
    <xf numFmtId="0" fontId="44" fillId="3" borderId="19" xfId="4" applyFont="1" applyFill="1" applyBorder="1" applyAlignment="1">
      <alignment horizontal="left" vertical="center" wrapText="1"/>
    </xf>
    <xf numFmtId="0" fontId="44" fillId="3" borderId="37" xfId="4" applyFont="1" applyFill="1" applyBorder="1" applyAlignment="1">
      <alignment horizontal="justify" vertical="center" wrapText="1"/>
    </xf>
    <xf numFmtId="0" fontId="44" fillId="0" borderId="19" xfId="4" applyFont="1" applyBorder="1" applyAlignment="1">
      <alignment horizontal="justify" vertical="center" wrapText="1"/>
    </xf>
    <xf numFmtId="0" fontId="44" fillId="20" borderId="19" xfId="0" applyFont="1" applyFill="1" applyBorder="1" applyAlignment="1">
      <alignment horizontal="center" wrapText="1"/>
    </xf>
    <xf numFmtId="0" fontId="44" fillId="15" borderId="19"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4" fillId="22" borderId="19" xfId="5" applyFont="1" applyFill="1" applyBorder="1" applyAlignment="1">
      <alignment horizontal="center" vertical="center" wrapText="1"/>
    </xf>
    <xf numFmtId="0" fontId="44" fillId="3" borderId="19" xfId="0" applyFont="1" applyFill="1" applyBorder="1" applyAlignment="1">
      <alignment horizontal="center" vertical="center" wrapText="1"/>
    </xf>
    <xf numFmtId="0" fontId="44" fillId="0" borderId="19" xfId="4" applyFont="1" applyBorder="1" applyAlignment="1">
      <alignment horizontal="left" vertical="center" wrapText="1"/>
    </xf>
    <xf numFmtId="1" fontId="44" fillId="0" borderId="19" xfId="0" applyNumberFormat="1" applyFont="1" applyBorder="1" applyAlignment="1">
      <alignment horizontal="center" wrapText="1"/>
    </xf>
    <xf numFmtId="0" fontId="44" fillId="3" borderId="19" xfId="4" applyFont="1" applyFill="1" applyBorder="1" applyAlignment="1">
      <alignment horizontal="center" vertical="center" wrapText="1"/>
    </xf>
    <xf numFmtId="0" fontId="44" fillId="3" borderId="19" xfId="4" applyFont="1" applyFill="1" applyBorder="1" applyAlignment="1">
      <alignment horizontal="center" wrapText="1"/>
    </xf>
    <xf numFmtId="0" fontId="42" fillId="0" borderId="19" xfId="4" applyFont="1" applyBorder="1" applyAlignment="1">
      <alignment horizontal="center" wrapText="1"/>
    </xf>
    <xf numFmtId="0" fontId="44" fillId="0" borderId="19" xfId="4" applyFont="1" applyBorder="1" applyAlignment="1">
      <alignment horizontal="center" wrapText="1"/>
    </xf>
    <xf numFmtId="0" fontId="44" fillId="3" borderId="19" xfId="0" applyFont="1" applyFill="1" applyBorder="1" applyAlignment="1">
      <alignment horizontal="left" vertical="center" wrapText="1"/>
    </xf>
    <xf numFmtId="0" fontId="44" fillId="3" borderId="19" xfId="0" applyFont="1" applyFill="1" applyBorder="1" applyAlignment="1">
      <alignment horizontal="center" wrapText="1"/>
    </xf>
    <xf numFmtId="0" fontId="44" fillId="3" borderId="37" xfId="0" applyFont="1" applyFill="1" applyBorder="1" applyAlignment="1">
      <alignment horizontal="center" vertical="center" wrapText="1"/>
    </xf>
    <xf numFmtId="1" fontId="39" fillId="0" borderId="19" xfId="0" applyNumberFormat="1" applyFont="1" applyBorder="1" applyAlignment="1">
      <alignment horizontal="center" wrapText="1"/>
    </xf>
    <xf numFmtId="0" fontId="42" fillId="0" borderId="19" xfId="0" applyFont="1" applyFill="1" applyBorder="1" applyAlignment="1">
      <alignment horizontal="center" wrapText="1"/>
    </xf>
    <xf numFmtId="0" fontId="44" fillId="0" borderId="19" xfId="0" applyFont="1" applyFill="1" applyBorder="1" applyAlignment="1" applyProtection="1">
      <alignment horizontal="left" vertical="center" wrapText="1"/>
    </xf>
    <xf numFmtId="0" fontId="44" fillId="0" borderId="19" xfId="0" applyFont="1" applyFill="1" applyBorder="1" applyAlignment="1">
      <alignment horizontal="left" vertical="center" wrapText="1"/>
    </xf>
    <xf numFmtId="0" fontId="44" fillId="3" borderId="19" xfId="0" applyFont="1" applyFill="1" applyBorder="1" applyAlignment="1">
      <alignment horizontal="left" vertical="center"/>
    </xf>
    <xf numFmtId="0" fontId="42" fillId="0" borderId="19" xfId="4" applyFont="1" applyBorder="1" applyAlignment="1">
      <alignment horizontal="left" vertical="center" wrapText="1"/>
    </xf>
    <xf numFmtId="0" fontId="42" fillId="0" borderId="19" xfId="0" applyFont="1" applyFill="1" applyBorder="1" applyAlignment="1">
      <alignment horizontal="left" vertical="center" wrapText="1"/>
    </xf>
    <xf numFmtId="0" fontId="44" fillId="3" borderId="19" xfId="4" applyFont="1" applyFill="1" applyBorder="1" applyAlignment="1">
      <alignment horizontal="center" vertical="center"/>
    </xf>
    <xf numFmtId="0" fontId="44" fillId="3" borderId="19" xfId="4" applyFont="1" applyFill="1" applyBorder="1" applyAlignment="1">
      <alignment horizontal="justify" vertical="center" wrapText="1"/>
    </xf>
    <xf numFmtId="0" fontId="44" fillId="15" borderId="19" xfId="4" applyFont="1" applyFill="1" applyBorder="1" applyAlignment="1">
      <alignment horizontal="left" vertical="center" wrapText="1"/>
    </xf>
    <xf numFmtId="0" fontId="44" fillId="3" borderId="19" xfId="5" applyFont="1" applyFill="1" applyBorder="1" applyAlignment="1">
      <alignment horizontal="justify" vertical="center" wrapText="1"/>
    </xf>
    <xf numFmtId="14" fontId="44" fillId="0" borderId="19" xfId="4" applyNumberFormat="1" applyFont="1" applyBorder="1" applyAlignment="1">
      <alignment horizontal="center" vertical="center" wrapText="1"/>
    </xf>
    <xf numFmtId="0" fontId="42" fillId="4" borderId="19" xfId="0" applyFont="1" applyFill="1" applyBorder="1" applyAlignment="1">
      <alignment horizontal="left" vertical="center" wrapText="1"/>
    </xf>
    <xf numFmtId="0" fontId="44" fillId="30" borderId="19" xfId="0" applyFont="1" applyFill="1" applyBorder="1" applyAlignment="1">
      <alignment horizontal="left" vertical="center" wrapText="1"/>
    </xf>
    <xf numFmtId="0" fontId="44" fillId="3" borderId="19" xfId="0" applyFont="1" applyFill="1" applyBorder="1" applyAlignment="1">
      <alignment horizontal="center" vertical="center"/>
    </xf>
    <xf numFmtId="0" fontId="44" fillId="3" borderId="19" xfId="5" applyFont="1" applyFill="1" applyBorder="1" applyAlignment="1">
      <alignment horizontal="center" vertical="center" wrapText="1"/>
    </xf>
    <xf numFmtId="14" fontId="44" fillId="3" borderId="19" xfId="0" applyNumberFormat="1" applyFont="1" applyFill="1" applyBorder="1" applyAlignment="1">
      <alignment horizontal="center" vertical="center" wrapText="1"/>
    </xf>
    <xf numFmtId="0" fontId="44" fillId="33" borderId="19" xfId="0" applyFont="1" applyFill="1" applyBorder="1" applyAlignment="1">
      <alignment horizontal="center" vertical="center" wrapText="1"/>
    </xf>
    <xf numFmtId="0" fontId="44" fillId="0" borderId="19" xfId="0" applyFont="1" applyFill="1" applyBorder="1" applyAlignment="1" applyProtection="1">
      <alignment horizontal="center" vertical="center" wrapText="1"/>
    </xf>
    <xf numFmtId="1" fontId="44" fillId="20" borderId="19" xfId="6" applyNumberFormat="1" applyFont="1" applyFill="1" applyBorder="1" applyAlignment="1">
      <alignment horizontal="left" vertical="center" wrapText="1"/>
    </xf>
    <xf numFmtId="0" fontId="44" fillId="20" borderId="19" xfId="0" applyFont="1" applyFill="1" applyBorder="1" applyAlignment="1">
      <alignment horizontal="left" vertical="center" wrapText="1"/>
    </xf>
    <xf numFmtId="0" fontId="44" fillId="20" borderId="19" xfId="0" applyFont="1" applyFill="1" applyBorder="1" applyAlignment="1">
      <alignment horizontal="center" vertical="center" wrapText="1"/>
    </xf>
    <xf numFmtId="0" fontId="42" fillId="0" borderId="19" xfId="0" applyFont="1" applyBorder="1" applyAlignment="1">
      <alignment horizontal="center" wrapText="1"/>
    </xf>
    <xf numFmtId="0" fontId="51" fillId="3" borderId="19" xfId="0" applyFont="1" applyFill="1" applyBorder="1" applyAlignment="1">
      <alignment horizontal="left" vertical="center" wrapText="1"/>
    </xf>
    <xf numFmtId="0" fontId="44" fillId="0" borderId="19" xfId="0" applyFont="1" applyFill="1" applyBorder="1" applyAlignment="1">
      <alignment horizontal="center" wrapText="1"/>
    </xf>
    <xf numFmtId="0" fontId="44" fillId="0" borderId="19" xfId="0" applyFont="1" applyBorder="1" applyAlignment="1" applyProtection="1">
      <alignment horizontal="left" vertical="center" wrapText="1"/>
    </xf>
    <xf numFmtId="0" fontId="44" fillId="0" borderId="19" xfId="0" applyFont="1" applyBorder="1" applyAlignment="1">
      <alignment horizontal="left" vertical="center" wrapText="1"/>
    </xf>
    <xf numFmtId="0" fontId="44" fillId="30" borderId="19" xfId="0" applyFont="1" applyFill="1" applyBorder="1" applyAlignment="1">
      <alignment horizontal="left" vertical="center"/>
    </xf>
    <xf numFmtId="14" fontId="44" fillId="0" borderId="19" xfId="0" applyNumberFormat="1" applyFont="1" applyFill="1" applyBorder="1" applyAlignment="1">
      <alignment horizontal="left" vertical="center" wrapText="1"/>
    </xf>
    <xf numFmtId="0" fontId="44" fillId="15" borderId="19" xfId="0" applyFont="1" applyFill="1" applyBorder="1" applyAlignment="1">
      <alignment horizontal="left" vertical="center" wrapText="1"/>
    </xf>
    <xf numFmtId="0" fontId="39" fillId="0" borderId="19" xfId="0" applyFont="1" applyBorder="1" applyAlignment="1">
      <alignment horizontal="center" vertical="center" wrapText="1"/>
    </xf>
    <xf numFmtId="0" fontId="39" fillId="23" borderId="19" xfId="0" applyFont="1" applyFill="1" applyBorder="1" applyAlignment="1">
      <alignment horizontal="center" vertical="center" wrapText="1"/>
    </xf>
    <xf numFmtId="0" fontId="39" fillId="23" borderId="19" xfId="0" applyFont="1" applyFill="1" applyBorder="1" applyAlignment="1">
      <alignment horizontal="center" vertical="center"/>
    </xf>
    <xf numFmtId="0" fontId="44" fillId="23" borderId="19" xfId="0" applyFont="1" applyFill="1" applyBorder="1" applyAlignment="1">
      <alignment horizontal="center" vertical="center" wrapText="1"/>
    </xf>
    <xf numFmtId="0" fontId="39" fillId="0" borderId="19" xfId="0" applyFont="1" applyFill="1" applyBorder="1" applyAlignment="1">
      <alignment horizontal="left" vertical="center" wrapText="1"/>
    </xf>
    <xf numFmtId="0" fontId="44" fillId="22" borderId="19" xfId="5" applyFont="1" applyFill="1" applyBorder="1" applyAlignment="1">
      <alignment horizontal="left" vertical="center" wrapText="1"/>
    </xf>
    <xf numFmtId="0" fontId="44" fillId="21" borderId="19" xfId="5" applyFont="1" applyFill="1" applyBorder="1" applyAlignment="1">
      <alignment horizontal="left" vertical="center" wrapText="1"/>
    </xf>
    <xf numFmtId="14" fontId="44" fillId="3" borderId="19" xfId="0" applyNumberFormat="1" applyFont="1" applyFill="1" applyBorder="1" applyAlignment="1">
      <alignment horizontal="left" vertical="center" wrapText="1"/>
    </xf>
    <xf numFmtId="0" fontId="44" fillId="3" borderId="19" xfId="0" applyFont="1" applyFill="1" applyBorder="1" applyAlignment="1">
      <alignment vertical="center" wrapText="1"/>
    </xf>
    <xf numFmtId="0" fontId="44" fillId="0" borderId="19" xfId="0" applyFont="1" applyFill="1" applyBorder="1" applyAlignment="1">
      <alignment vertical="center" wrapText="1"/>
    </xf>
    <xf numFmtId="0" fontId="44" fillId="3" borderId="19" xfId="0" applyFont="1" applyFill="1" applyBorder="1" applyAlignment="1">
      <alignment vertical="center"/>
    </xf>
    <xf numFmtId="0" fontId="44" fillId="0" borderId="19" xfId="0" applyFont="1" applyFill="1" applyBorder="1" applyAlignment="1">
      <alignment horizontal="justify" vertical="center" wrapText="1"/>
    </xf>
    <xf numFmtId="0" fontId="44" fillId="0" borderId="19" xfId="0" applyFont="1" applyFill="1" applyBorder="1" applyAlignment="1">
      <alignment horizontal="left" vertical="center"/>
    </xf>
    <xf numFmtId="0" fontId="44" fillId="15" borderId="19" xfId="0" applyFont="1" applyFill="1" applyBorder="1" applyAlignment="1">
      <alignment horizontal="justify" vertical="center" wrapText="1"/>
    </xf>
    <xf numFmtId="0" fontId="44" fillId="0" borderId="19" xfId="0" applyFont="1" applyFill="1" applyBorder="1" applyAlignment="1">
      <alignment horizontal="center" vertical="center"/>
    </xf>
    <xf numFmtId="0" fontId="44" fillId="0" borderId="19" xfId="0" applyFont="1" applyFill="1" applyBorder="1" applyAlignment="1">
      <alignment horizontal="justify" vertical="top" wrapText="1"/>
    </xf>
    <xf numFmtId="0" fontId="39" fillId="0" borderId="19" xfId="0" applyFont="1" applyFill="1" applyBorder="1" applyAlignment="1">
      <alignment horizontal="justify" vertical="center" wrapText="1"/>
    </xf>
    <xf numFmtId="0" fontId="44" fillId="0" borderId="19" xfId="0" applyFont="1" applyBorder="1" applyAlignment="1">
      <alignment horizontal="justify" vertical="top" wrapText="1"/>
    </xf>
    <xf numFmtId="0" fontId="39" fillId="0" borderId="19" xfId="0" applyFont="1" applyBorder="1" applyAlignment="1">
      <alignment horizontal="justify" vertical="top" wrapText="1"/>
    </xf>
    <xf numFmtId="0" fontId="39" fillId="0" borderId="19" xfId="0" applyFont="1" applyBorder="1" applyAlignment="1">
      <alignment horizontal="justify" vertical="top"/>
    </xf>
    <xf numFmtId="0" fontId="44" fillId="0" borderId="19" xfId="0" applyFont="1" applyFill="1" applyBorder="1" applyAlignment="1">
      <alignment horizontal="justify" vertical="center"/>
    </xf>
    <xf numFmtId="0" fontId="44" fillId="0" borderId="19" xfId="0" applyFont="1" applyBorder="1" applyAlignment="1">
      <alignment horizontal="justify" vertical="top"/>
    </xf>
    <xf numFmtId="0" fontId="18" fillId="0" borderId="0" xfId="0" applyFont="1" applyAlignment="1">
      <alignment horizontal="center" vertical="center" wrapText="1"/>
    </xf>
    <xf numFmtId="0" fontId="15" fillId="5" borderId="5"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10"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13" borderId="5" xfId="0" applyFont="1" applyFill="1" applyBorder="1" applyAlignment="1" applyProtection="1">
      <alignment horizontal="center" wrapText="1" readingOrder="1"/>
      <protection hidden="1"/>
    </xf>
    <xf numFmtId="0" fontId="15" fillId="13" borderId="0" xfId="0" applyFont="1" applyFill="1" applyBorder="1" applyAlignment="1" applyProtection="1">
      <alignment horizontal="center" wrapText="1" readingOrder="1"/>
      <protection hidden="1"/>
    </xf>
    <xf numFmtId="0" fontId="15" fillId="13" borderId="6" xfId="0" applyFont="1" applyFill="1" applyBorder="1" applyAlignment="1" applyProtection="1">
      <alignment horizontal="center" wrapText="1" readingOrder="1"/>
      <protection hidden="1"/>
    </xf>
    <xf numFmtId="0" fontId="15" fillId="13" borderId="7" xfId="0" applyFont="1" applyFill="1" applyBorder="1" applyAlignment="1" applyProtection="1">
      <alignment horizontal="center" wrapText="1" readingOrder="1"/>
      <protection hidden="1"/>
    </xf>
    <xf numFmtId="0" fontId="15" fillId="13" borderId="9" xfId="0" applyFont="1" applyFill="1" applyBorder="1" applyAlignment="1" applyProtection="1">
      <alignment horizontal="center" wrapText="1" readingOrder="1"/>
      <protection hidden="1"/>
    </xf>
    <xf numFmtId="0" fontId="15" fillId="13" borderId="8" xfId="0" applyFont="1" applyFill="1" applyBorder="1" applyAlignment="1" applyProtection="1">
      <alignment horizontal="center" wrapText="1" readingOrder="1"/>
      <protection hidden="1"/>
    </xf>
    <xf numFmtId="0" fontId="15" fillId="13" borderId="3" xfId="0" applyFont="1" applyFill="1" applyBorder="1" applyAlignment="1" applyProtection="1">
      <alignment horizontal="center" wrapText="1" readingOrder="1"/>
      <protection hidden="1"/>
    </xf>
    <xf numFmtId="0" fontId="15" fillId="13" borderId="10" xfId="0" applyFont="1" applyFill="1" applyBorder="1" applyAlignment="1" applyProtection="1">
      <alignment horizontal="center" wrapText="1" readingOrder="1"/>
      <protection hidden="1"/>
    </xf>
    <xf numFmtId="0" fontId="15" fillId="13" borderId="4" xfId="0" applyFont="1" applyFill="1" applyBorder="1" applyAlignment="1" applyProtection="1">
      <alignment horizontal="center" wrapText="1" readingOrder="1"/>
      <protection hidden="1"/>
    </xf>
    <xf numFmtId="0" fontId="15" fillId="12" borderId="5" xfId="0" applyFont="1" applyFill="1" applyBorder="1" applyAlignment="1" applyProtection="1">
      <alignment horizontal="center" wrapText="1" readingOrder="1"/>
      <protection hidden="1"/>
    </xf>
    <xf numFmtId="0" fontId="15" fillId="12" borderId="0" xfId="0" applyFont="1" applyFill="1" applyBorder="1" applyAlignment="1" applyProtection="1">
      <alignment horizontal="center" wrapText="1" readingOrder="1"/>
      <protection hidden="1"/>
    </xf>
    <xf numFmtId="0" fontId="15" fillId="12" borderId="6" xfId="0" applyFont="1" applyFill="1" applyBorder="1" applyAlignment="1" applyProtection="1">
      <alignment horizontal="center" wrapText="1" readingOrder="1"/>
      <protection hidden="1"/>
    </xf>
    <xf numFmtId="0" fontId="15" fillId="12" borderId="7" xfId="0" applyFont="1" applyFill="1" applyBorder="1" applyAlignment="1" applyProtection="1">
      <alignment horizontal="center" wrapText="1" readingOrder="1"/>
      <protection hidden="1"/>
    </xf>
    <xf numFmtId="0" fontId="15" fillId="12" borderId="9" xfId="0" applyFont="1" applyFill="1" applyBorder="1" applyAlignment="1" applyProtection="1">
      <alignment horizontal="center" wrapText="1" readingOrder="1"/>
      <protection hidden="1"/>
    </xf>
    <xf numFmtId="0" fontId="15" fillId="12" borderId="8" xfId="0" applyFont="1" applyFill="1" applyBorder="1" applyAlignment="1" applyProtection="1">
      <alignment horizontal="center" wrapText="1" readingOrder="1"/>
      <protection hidden="1"/>
    </xf>
    <xf numFmtId="0" fontId="15" fillId="12" borderId="3" xfId="0" applyFont="1" applyFill="1" applyBorder="1" applyAlignment="1" applyProtection="1">
      <alignment horizontal="center" wrapText="1" readingOrder="1"/>
      <protection hidden="1"/>
    </xf>
    <xf numFmtId="0" fontId="15" fillId="12" borderId="10" xfId="0" applyFont="1" applyFill="1" applyBorder="1" applyAlignment="1" applyProtection="1">
      <alignment horizontal="center" wrapText="1" readingOrder="1"/>
      <protection hidden="1"/>
    </xf>
    <xf numFmtId="0" fontId="15" fillId="12" borderId="4"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vertical="center" wrapText="1" readingOrder="1"/>
      <protection hidden="1"/>
    </xf>
    <xf numFmtId="0" fontId="15" fillId="11" borderId="0" xfId="0" applyFont="1" applyFill="1" applyBorder="1" applyAlignment="1" applyProtection="1">
      <alignment horizontal="center" vertic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6" xfId="0" applyFont="1" applyFill="1" applyBorder="1" applyAlignment="1" applyProtection="1">
      <alignment horizontal="center" vertical="center" wrapText="1" readingOrder="1"/>
      <protection hidden="1"/>
    </xf>
    <xf numFmtId="0" fontId="15" fillId="11" borderId="7" xfId="0" applyFont="1" applyFill="1" applyBorder="1" applyAlignment="1" applyProtection="1">
      <alignment horizontal="center" vertical="center" wrapText="1" readingOrder="1"/>
      <protection hidden="1"/>
    </xf>
    <xf numFmtId="0" fontId="15" fillId="11" borderId="9" xfId="0" applyFont="1" applyFill="1" applyBorder="1" applyAlignment="1" applyProtection="1">
      <alignment horizontal="center" vertical="center" wrapText="1" readingOrder="1"/>
      <protection hidden="1"/>
    </xf>
    <xf numFmtId="0" fontId="15" fillId="11" borderId="8" xfId="0" applyFont="1" applyFill="1" applyBorder="1" applyAlignment="1" applyProtection="1">
      <alignment horizontal="center" vertical="center" wrapText="1" readingOrder="1"/>
      <protection hidden="1"/>
    </xf>
    <xf numFmtId="0" fontId="15" fillId="11" borderId="3" xfId="0" applyFont="1" applyFill="1" applyBorder="1" applyAlignment="1" applyProtection="1">
      <alignment horizontal="center" vertical="center" wrapText="1" readingOrder="1"/>
      <protection hidden="1"/>
    </xf>
    <xf numFmtId="0" fontId="15" fillId="11" borderId="10" xfId="0" applyFont="1" applyFill="1" applyBorder="1" applyAlignment="1" applyProtection="1">
      <alignment horizontal="center" vertical="center" wrapText="1" readingOrder="1"/>
      <protection hidden="1"/>
    </xf>
    <xf numFmtId="0" fontId="15" fillId="11" borderId="4" xfId="0" applyFont="1" applyFill="1" applyBorder="1" applyAlignment="1" applyProtection="1">
      <alignment horizontal="center" vertical="center" wrapText="1" readingOrder="1"/>
      <protection hidden="1"/>
    </xf>
    <xf numFmtId="0" fontId="14" fillId="10" borderId="0" xfId="0" applyFont="1" applyFill="1" applyAlignment="1">
      <alignment horizontal="center" vertical="center" wrapText="1" readingOrder="1"/>
    </xf>
    <xf numFmtId="0" fontId="13" fillId="0" borderId="3" xfId="0" applyFont="1" applyBorder="1" applyAlignment="1">
      <alignment horizontal="center"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wrapText="1"/>
    </xf>
    <xf numFmtId="0" fontId="14" fillId="10" borderId="0" xfId="0" applyFont="1" applyFill="1" applyAlignment="1">
      <alignment horizontal="center" vertical="center" textRotation="90" wrapText="1" readingOrder="1"/>
    </xf>
    <xf numFmtId="0" fontId="14" fillId="10" borderId="6" xfId="0" applyFont="1" applyFill="1" applyBorder="1" applyAlignment="1">
      <alignment horizontal="center" vertical="center" textRotation="90" wrapText="1" readingOrder="1"/>
    </xf>
    <xf numFmtId="0" fontId="16" fillId="12" borderId="11" xfId="0" applyFont="1" applyFill="1" applyBorder="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2" borderId="13" xfId="0" applyFont="1" applyFill="1" applyBorder="1" applyAlignment="1">
      <alignment horizontal="center" vertical="center" wrapText="1" readingOrder="1"/>
    </xf>
    <xf numFmtId="0" fontId="16" fillId="12" borderId="14" xfId="0" applyFont="1" applyFill="1" applyBorder="1" applyAlignment="1">
      <alignment horizontal="center" vertical="center" wrapText="1" readingOrder="1"/>
    </xf>
    <xf numFmtId="0" fontId="16" fillId="12" borderId="0" xfId="0" applyFont="1" applyFill="1" applyBorder="1" applyAlignment="1">
      <alignment horizontal="center" vertical="center" wrapText="1" readingOrder="1"/>
    </xf>
    <xf numFmtId="0" fontId="16" fillId="12" borderId="15" xfId="0" applyFont="1" applyFill="1" applyBorder="1" applyAlignment="1">
      <alignment horizontal="center" vertical="center" wrapText="1" readingOrder="1"/>
    </xf>
    <xf numFmtId="0" fontId="16" fillId="12" borderId="16" xfId="0" applyFont="1" applyFill="1" applyBorder="1" applyAlignment="1">
      <alignment horizontal="center" vertical="center" wrapText="1" readingOrder="1"/>
    </xf>
    <xf numFmtId="0" fontId="16" fillId="12" borderId="17" xfId="0" applyFont="1" applyFill="1" applyBorder="1" applyAlignment="1">
      <alignment horizontal="center" vertical="center" wrapText="1" readingOrder="1"/>
    </xf>
    <xf numFmtId="0" fontId="16" fillId="12" borderId="18"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1" borderId="13" xfId="0" applyFont="1" applyFill="1" applyBorder="1" applyAlignment="1">
      <alignment horizontal="center" vertical="center" wrapText="1" readingOrder="1"/>
    </xf>
    <xf numFmtId="0" fontId="16" fillId="11" borderId="14" xfId="0" applyFont="1" applyFill="1" applyBorder="1" applyAlignment="1">
      <alignment horizontal="center" vertical="center" wrapText="1" readingOrder="1"/>
    </xf>
    <xf numFmtId="0" fontId="16" fillId="11" borderId="0" xfId="0" applyFont="1" applyFill="1" applyBorder="1" applyAlignment="1">
      <alignment horizontal="center" vertical="center" wrapText="1" readingOrder="1"/>
    </xf>
    <xf numFmtId="0" fontId="16" fillId="11" borderId="15" xfId="0" applyFont="1" applyFill="1" applyBorder="1" applyAlignment="1">
      <alignment horizontal="center" vertical="center" wrapText="1" readingOrder="1"/>
    </xf>
    <xf numFmtId="0" fontId="16" fillId="11" borderId="16" xfId="0" applyFont="1" applyFill="1" applyBorder="1" applyAlignment="1">
      <alignment horizontal="center" vertical="center" wrapText="1" readingOrder="1"/>
    </xf>
    <xf numFmtId="0" fontId="16" fillId="11" borderId="17" xfId="0" applyFont="1" applyFill="1" applyBorder="1" applyAlignment="1">
      <alignment horizontal="center" vertical="center" wrapText="1" readingOrder="1"/>
    </xf>
    <xf numFmtId="0" fontId="16" fillId="11" borderId="18" xfId="0"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0" fontId="16" fillId="13" borderId="12" xfId="0" applyFont="1" applyFill="1" applyBorder="1" applyAlignment="1">
      <alignment horizontal="center" vertical="center" wrapText="1" readingOrder="1"/>
    </xf>
    <xf numFmtId="0" fontId="16" fillId="13" borderId="13" xfId="0" applyFont="1" applyFill="1" applyBorder="1" applyAlignment="1">
      <alignment horizontal="center" vertical="center" wrapText="1" readingOrder="1"/>
    </xf>
    <xf numFmtId="0" fontId="16" fillId="13" borderId="14" xfId="0" applyFont="1" applyFill="1" applyBorder="1" applyAlignment="1">
      <alignment horizontal="center" vertical="center" wrapText="1" readingOrder="1"/>
    </xf>
    <xf numFmtId="0" fontId="16" fillId="13" borderId="0" xfId="0" applyFont="1" applyFill="1" applyBorder="1" applyAlignment="1">
      <alignment horizontal="center" vertical="center" wrapText="1" readingOrder="1"/>
    </xf>
    <xf numFmtId="0" fontId="16" fillId="13" borderId="15" xfId="0" applyFont="1" applyFill="1" applyBorder="1" applyAlignment="1">
      <alignment horizontal="center" vertical="center" wrapText="1" readingOrder="1"/>
    </xf>
    <xf numFmtId="0" fontId="16" fillId="13" borderId="16" xfId="0" applyFont="1" applyFill="1" applyBorder="1" applyAlignment="1">
      <alignment horizontal="center" vertical="center" wrapText="1" readingOrder="1"/>
    </xf>
    <xf numFmtId="0" fontId="16" fillId="13" borderId="17" xfId="0" applyFont="1" applyFill="1" applyBorder="1" applyAlignment="1">
      <alignment horizontal="center" vertical="center" wrapText="1" readingOrder="1"/>
    </xf>
    <xf numFmtId="0" fontId="16" fillId="13" borderId="18"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12" xfId="0" applyFont="1" applyFill="1" applyBorder="1" applyAlignment="1">
      <alignment horizontal="center" vertical="center" wrapText="1" readingOrder="1"/>
    </xf>
    <xf numFmtId="0" fontId="16" fillId="5" borderId="13" xfId="0" applyFont="1" applyFill="1" applyBorder="1" applyAlignment="1">
      <alignment horizontal="center" vertical="center" wrapText="1" readingOrder="1"/>
    </xf>
    <xf numFmtId="0" fontId="16" fillId="5" borderId="14" xfId="0" applyFont="1" applyFill="1" applyBorder="1" applyAlignment="1">
      <alignment horizontal="center" vertical="center" wrapText="1" readingOrder="1"/>
    </xf>
    <xf numFmtId="0" fontId="16" fillId="5" borderId="0" xfId="0" applyFont="1" applyFill="1" applyBorder="1" applyAlignment="1">
      <alignment horizontal="center" vertical="center" wrapText="1" readingOrder="1"/>
    </xf>
    <xf numFmtId="0" fontId="16" fillId="5" borderId="15" xfId="0" applyFont="1" applyFill="1" applyBorder="1" applyAlignment="1">
      <alignment horizontal="center" vertical="center" wrapText="1" readingOrder="1"/>
    </xf>
    <xf numFmtId="0" fontId="16" fillId="5" borderId="16" xfId="0" applyFont="1" applyFill="1" applyBorder="1" applyAlignment="1">
      <alignment horizontal="center" vertical="center" wrapText="1" readingOrder="1"/>
    </xf>
    <xf numFmtId="0" fontId="16" fillId="5" borderId="17" xfId="0" applyFont="1" applyFill="1" applyBorder="1" applyAlignment="1">
      <alignment horizontal="center" vertical="center" wrapText="1" readingOrder="1"/>
    </xf>
    <xf numFmtId="0" fontId="16" fillId="5" borderId="18" xfId="0" applyFont="1" applyFill="1" applyBorder="1" applyAlignment="1">
      <alignment horizontal="center" vertical="center" wrapText="1" readingOrder="1"/>
    </xf>
    <xf numFmtId="0" fontId="17" fillId="0" borderId="0" xfId="0" applyFont="1" applyAlignment="1">
      <alignment horizontal="center" vertical="center"/>
    </xf>
    <xf numFmtId="0" fontId="33" fillId="0" borderId="0" xfId="0" applyFont="1" applyAlignment="1">
      <alignment horizontal="center" vertical="center"/>
    </xf>
    <xf numFmtId="0" fontId="31" fillId="14" borderId="21" xfId="0" applyFont="1" applyFill="1" applyBorder="1" applyAlignment="1">
      <alignment horizontal="center" vertical="center" wrapText="1" readingOrder="1"/>
    </xf>
    <xf numFmtId="0" fontId="31" fillId="14" borderId="22" xfId="0" applyFont="1" applyFill="1" applyBorder="1" applyAlignment="1">
      <alignment horizontal="center" vertical="center" wrapText="1" readingOrder="1"/>
    </xf>
    <xf numFmtId="0" fontId="31" fillId="14" borderId="33" xfId="0" applyFont="1" applyFill="1" applyBorder="1" applyAlignment="1">
      <alignment horizontal="center" vertical="center" wrapText="1" readingOrder="1"/>
    </xf>
    <xf numFmtId="0" fontId="26" fillId="3" borderId="0" xfId="0" applyFont="1" applyFill="1" applyBorder="1" applyAlignment="1">
      <alignment horizontal="justify" vertical="center" wrapText="1"/>
    </xf>
    <xf numFmtId="0" fontId="28" fillId="14" borderId="30" xfId="0" applyFont="1" applyFill="1" applyBorder="1" applyAlignment="1">
      <alignment horizontal="center" vertical="center" wrapText="1" readingOrder="1"/>
    </xf>
    <xf numFmtId="0" fontId="28" fillId="14" borderId="31" xfId="0" applyFont="1" applyFill="1" applyBorder="1" applyAlignment="1">
      <alignment horizontal="center" vertical="center" wrapText="1" readingOrder="1"/>
    </xf>
    <xf numFmtId="0" fontId="28" fillId="3" borderId="28" xfId="0" applyFont="1" applyFill="1" applyBorder="1" applyAlignment="1">
      <alignment horizontal="center" vertical="center" wrapText="1" readingOrder="1"/>
    </xf>
    <xf numFmtId="0" fontId="28" fillId="3" borderId="23" xfId="0" applyFont="1" applyFill="1" applyBorder="1" applyAlignment="1">
      <alignment horizontal="center" vertical="center" wrapText="1" readingOrder="1"/>
    </xf>
    <xf numFmtId="0" fontId="28" fillId="3" borderId="20" xfId="0" applyFont="1" applyFill="1" applyBorder="1" applyAlignment="1">
      <alignment horizontal="center" vertical="center" wrapText="1" readingOrder="1"/>
    </xf>
    <xf numFmtId="0" fontId="28" fillId="3" borderId="19" xfId="0" applyFont="1" applyFill="1" applyBorder="1" applyAlignment="1">
      <alignment horizontal="center" vertical="center" wrapText="1" readingOrder="1"/>
    </xf>
    <xf numFmtId="0" fontId="28" fillId="3" borderId="25" xfId="0" applyFont="1" applyFill="1" applyBorder="1" applyAlignment="1">
      <alignment horizontal="center" vertical="center" wrapText="1" readingOrder="1"/>
    </xf>
    <xf numFmtId="0" fontId="28" fillId="3" borderId="26" xfId="0" applyFont="1" applyFill="1" applyBorder="1" applyAlignment="1">
      <alignment horizontal="center" vertical="center" wrapText="1" readingOrder="1"/>
    </xf>
  </cellXfs>
  <cellStyles count="8">
    <cellStyle name="Neutral" xfId="7" builtinId="28"/>
    <cellStyle name="Normal" xfId="0" builtinId="0"/>
    <cellStyle name="Normal - Style1 2" xfId="1" xr:uid="{00000000-0005-0000-0000-000002000000}"/>
    <cellStyle name="Normal 2" xfId="3" xr:uid="{00000000-0005-0000-0000-000003000000}"/>
    <cellStyle name="Normal 2 2" xfId="2" xr:uid="{00000000-0005-0000-0000-000004000000}"/>
    <cellStyle name="Normal 2 3" xfId="4" xr:uid="{00000000-0005-0000-0000-000005000000}"/>
    <cellStyle name="Normal 3" xfId="5" xr:uid="{00000000-0005-0000-0000-000006000000}"/>
    <cellStyle name="TableStyleLight1" xfId="6" xr:uid="{00000000-0005-0000-0000-000007000000}"/>
  </cellStyles>
  <dxfs count="19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z val="36"/>
      </font>
    </dxf>
    <dxf>
      <font>
        <sz val="36"/>
      </font>
    </dxf>
    <dxf>
      <font>
        <sz val="36"/>
      </font>
    </dxf>
    <dxf>
      <font>
        <sz val="36"/>
      </font>
    </dxf>
    <dxf>
      <font>
        <sz val="36"/>
      </font>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sz val="11"/>
        <color rgb="FF000000"/>
        <name val="Calibri"/>
      </font>
      <fill>
        <patternFill>
          <bgColor rgb="FF00B05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47</xdr:col>
      <xdr:colOff>0</xdr:colOff>
      <xdr:row>35</xdr:row>
      <xdr:rowOff>0</xdr:rowOff>
    </xdr:from>
    <xdr:to>
      <xdr:col>47</xdr:col>
      <xdr:colOff>3542110</xdr:colOff>
      <xdr:row>36</xdr:row>
      <xdr:rowOff>1220391</xdr:rowOff>
    </xdr:to>
    <xdr:pic>
      <xdr:nvPicPr>
        <xdr:cNvPr id="2" name="Imagen 1">
          <a:extLst>
            <a:ext uri="{FF2B5EF4-FFF2-40B4-BE49-F238E27FC236}">
              <a16:creationId xmlns:a16="http://schemas.microsoft.com/office/drawing/2014/main" id="{CD832F7E-3F3F-4773-9403-CB46F1056730}"/>
            </a:ext>
          </a:extLst>
        </xdr:cNvPr>
        <xdr:cNvPicPr/>
      </xdr:nvPicPr>
      <xdr:blipFill rotWithShape="1">
        <a:blip xmlns:r="http://schemas.openxmlformats.org/officeDocument/2006/relationships" r:embed="rId1"/>
        <a:srcRect r="49916"/>
        <a:stretch/>
      </xdr:blipFill>
      <xdr:spPr>
        <a:xfrm>
          <a:off x="40064531" y="53042344"/>
          <a:ext cx="3542110" cy="2470547"/>
        </a:xfrm>
        <a:prstGeom prst="rect">
          <a:avLst/>
        </a:prstGeom>
      </xdr:spPr>
    </xdr:pic>
    <xdr:clientData/>
  </xdr:twoCellAnchor>
  <xdr:twoCellAnchor editAs="oneCell">
    <xdr:from>
      <xdr:col>47</xdr:col>
      <xdr:colOff>4018361</xdr:colOff>
      <xdr:row>35</xdr:row>
      <xdr:rowOff>327422</xdr:rowOff>
    </xdr:from>
    <xdr:to>
      <xdr:col>47</xdr:col>
      <xdr:colOff>6875861</xdr:colOff>
      <xdr:row>40</xdr:row>
      <xdr:rowOff>98822</xdr:rowOff>
    </xdr:to>
    <xdr:pic>
      <xdr:nvPicPr>
        <xdr:cNvPr id="3" name="Imagen 2">
          <a:extLst>
            <a:ext uri="{FF2B5EF4-FFF2-40B4-BE49-F238E27FC236}">
              <a16:creationId xmlns:a16="http://schemas.microsoft.com/office/drawing/2014/main" id="{3A95C63E-1E12-4577-8EC0-5FD2ABD543EF}"/>
            </a:ext>
          </a:extLst>
        </xdr:cNvPr>
        <xdr:cNvPicPr/>
      </xdr:nvPicPr>
      <xdr:blipFill>
        <a:blip xmlns:r="http://schemas.openxmlformats.org/officeDocument/2006/relationships" r:embed="rId2"/>
        <a:stretch>
          <a:fillRect/>
        </a:stretch>
      </xdr:blipFill>
      <xdr:spPr>
        <a:xfrm>
          <a:off x="44082892" y="53369766"/>
          <a:ext cx="2857500" cy="31968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114300</xdr:rowOff>
    </xdr:from>
    <xdr:ext cx="13511893" cy="6906986"/>
    <xdr:pic>
      <xdr:nvPicPr>
        <xdr:cNvPr id="2" name="Imagen 1">
          <a:extLst>
            <a:ext uri="{FF2B5EF4-FFF2-40B4-BE49-F238E27FC236}">
              <a16:creationId xmlns:a16="http://schemas.microsoft.com/office/drawing/2014/main" id="{0639BE67-8240-46E1-A703-80AC7007A131}"/>
            </a:ext>
          </a:extLst>
        </xdr:cNvPr>
        <xdr:cNvPicPr>
          <a:picLocks noChangeAspect="1"/>
        </xdr:cNvPicPr>
      </xdr:nvPicPr>
      <xdr:blipFill rotWithShape="1">
        <a:blip xmlns:r="http://schemas.openxmlformats.org/officeDocument/2006/relationships" r:embed="rId1"/>
        <a:srcRect l="18889" t="23180" r="19411" b="20511"/>
        <a:stretch/>
      </xdr:blipFill>
      <xdr:spPr>
        <a:xfrm>
          <a:off x="0" y="304800"/>
          <a:ext cx="13511893" cy="6906986"/>
        </a:xfrm>
        <a:prstGeom prst="rect">
          <a:avLst/>
        </a:prstGeom>
      </xdr:spPr>
    </xdr:pic>
    <xdr:clientData/>
  </xdr:oneCellAnchor>
  <xdr:oneCellAnchor>
    <xdr:from>
      <xdr:col>20</xdr:col>
      <xdr:colOff>133350</xdr:colOff>
      <xdr:row>3</xdr:row>
      <xdr:rowOff>133350</xdr:rowOff>
    </xdr:from>
    <xdr:ext cx="11620500" cy="6800850"/>
    <xdr:pic>
      <xdr:nvPicPr>
        <xdr:cNvPr id="3" name="Imagen 2">
          <a:extLst>
            <a:ext uri="{FF2B5EF4-FFF2-40B4-BE49-F238E27FC236}">
              <a16:creationId xmlns:a16="http://schemas.microsoft.com/office/drawing/2014/main" id="{A08A911A-E7EB-4FA5-8DAC-8436F6A6F7DA}"/>
            </a:ext>
          </a:extLst>
        </xdr:cNvPr>
        <xdr:cNvPicPr>
          <a:picLocks noChangeAspect="1"/>
        </xdr:cNvPicPr>
      </xdr:nvPicPr>
      <xdr:blipFill rotWithShape="1">
        <a:blip xmlns:r="http://schemas.openxmlformats.org/officeDocument/2006/relationships" r:embed="rId2"/>
        <a:srcRect l="16107" t="22659" r="15509" b="8582"/>
        <a:stretch/>
      </xdr:blipFill>
      <xdr:spPr>
        <a:xfrm>
          <a:off x="15373350" y="704850"/>
          <a:ext cx="11620500" cy="6800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zmin\Downloads\180222_Mapa%20de%20corrupci&#243;n_%20Proceo%20Control%20Evaluaci&#243;n%20y%20Seguimien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gestion%20recursos%20fisicos%20actualizado%20febrero%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gestion%20talentohumano%20actualizado%20febrero%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Gesti&#243;n%20TIC%20actualizado%20febrero%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Vigencia%202022/RIESGO%202022/RIESGOS/CORRUPCION/Riesgos%20de%20Corrupci&#243;n%20AByS-actualizado%20febrero%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Vigencia%202022/RIESGO%202022/RIESGOS/CORRUPCION/Riesgo%20corrupcion%20admon%20y%20mantenimiento%20parques%20actualizado%20febrero%20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ELLY%20SERRANO\Documents\Cuarentena\PAAC\2do%20seguimiento%202020\Documentos%20PAAC%20web\riesgos%20corrucpcion%202020\Parqu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igencia%202022/RIESGO%202022/RIESGOS/CORRUPCION/Riesgo%20corrupcion%20control%20disciplinario%20actualizado%20febrero%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encia%202022/RIESGO%202022/RIESGOS/CORRUPCION/Riesgo%20corrupcion%20dise&#241;o%20y%20construccion%20actualizado%20febrer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gencia%202022/RIESGO%202022/RIESGOS/CORRUPCION/Riesgo%20corrupcion%20gestion%20documental%20actualizado%20febrero%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20gestion%20financiera%20actualizado%20febrer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243;n%20Fomento%20de%20la%20actividad%20f&#237;sica,%20el%20deporte%20y%20la%20recreaci&#243;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li\Documents\IDRD%202021\RIESGOS%20DE%20CORRUPCI&#211;N\riesgos%20corrupcion%20IDRD%202021\16062021%20riesgos%20corrupcion%20fomento%20depor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gestion%20comunicaciones%20actualizado%20febrero%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Vigencia%202022/RIESGO%202022/RIESGOS/CORRUPCION/Riesgos%20corrupcion%20gestion%20juridica%20actualizado%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Control Interno "/>
      <sheetName val="Parámetros"/>
    </sheetNames>
    <sheetDataSet>
      <sheetData sheetId="0"/>
      <sheetData sheetId="1" refreshError="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sheetName val="Matriz Riesgos"/>
      <sheetName val="Parámetros"/>
    </sheetNames>
    <sheetDataSet>
      <sheetData sheetId="0"/>
      <sheetData sheetId="1" refreshError="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4"/>
      <sheetName val="Criterios impacto 3"/>
      <sheetName val="Criterios impacto 2"/>
      <sheetName val="Criterios impacto 1"/>
      <sheetName val="Matriz Riesgos"/>
      <sheetName val="Parámetros"/>
    </sheetNames>
    <sheetDataSet>
      <sheetData sheetId="0"/>
      <sheetData sheetId="1"/>
      <sheetData sheetId="2"/>
      <sheetData sheetId="3"/>
      <sheetData sheetId="4" refreshError="1"/>
      <sheetData sheetId="5">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Criterios impacto"/>
      <sheetName val="PARQUES "/>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2"/>
      <sheetName val="Criterios impacto 1"/>
      <sheetName val="Parámetro"/>
      <sheetName val="construcciones"/>
      <sheetName val="Riesgos_PROCESO_STC"/>
      <sheetName val="Riesgos_P-SERVICIOCIUDADANO_STC"/>
    </sheetNames>
    <sheetDataSet>
      <sheetData sheetId="0">
        <row r="5">
          <cell r="H5" t="str">
            <v>NO</v>
          </cell>
        </row>
        <row r="6">
          <cell r="H6" t="str">
            <v>NO</v>
          </cell>
        </row>
        <row r="7">
          <cell r="H7" t="str">
            <v>NO</v>
          </cell>
        </row>
        <row r="8">
          <cell r="H8" t="str">
            <v>NO</v>
          </cell>
        </row>
        <row r="9">
          <cell r="H9" t="str">
            <v>NO</v>
          </cell>
        </row>
        <row r="10">
          <cell r="H10" t="str">
            <v>NO</v>
          </cell>
        </row>
        <row r="11">
          <cell r="H11" t="str">
            <v>SI</v>
          </cell>
        </row>
        <row r="12">
          <cell r="H12" t="str">
            <v>SI</v>
          </cell>
        </row>
        <row r="13">
          <cell r="H13" t="str">
            <v>SI</v>
          </cell>
        </row>
        <row r="14">
          <cell r="H14" t="str">
            <v>NO</v>
          </cell>
        </row>
        <row r="15">
          <cell r="H15" t="str">
            <v>NO</v>
          </cell>
        </row>
        <row r="16">
          <cell r="H16" t="str">
            <v>NO</v>
          </cell>
        </row>
        <row r="17">
          <cell r="H17" t="str">
            <v>NO</v>
          </cell>
        </row>
        <row r="18">
          <cell r="H18" t="str">
            <v>NO</v>
          </cell>
        </row>
        <row r="19">
          <cell r="H19" t="str">
            <v>NO</v>
          </cell>
        </row>
        <row r="20">
          <cell r="H20" t="str">
            <v>NO</v>
          </cell>
        </row>
      </sheetData>
      <sheetData sheetId="1">
        <row r="5">
          <cell r="H5" t="str">
            <v>NO</v>
          </cell>
        </row>
        <row r="6">
          <cell r="H6" t="str">
            <v>NO</v>
          </cell>
        </row>
        <row r="7">
          <cell r="H7" t="str">
            <v>SI</v>
          </cell>
        </row>
        <row r="8">
          <cell r="H8" t="str">
            <v>NO</v>
          </cell>
        </row>
        <row r="9">
          <cell r="H9" t="str">
            <v>NO</v>
          </cell>
        </row>
        <row r="10">
          <cell r="H10" t="str">
            <v>NO</v>
          </cell>
        </row>
        <row r="11">
          <cell r="H11" t="str">
            <v>SI</v>
          </cell>
        </row>
        <row r="12">
          <cell r="H12" t="str">
            <v>SI</v>
          </cell>
        </row>
        <row r="13">
          <cell r="H13" t="str">
            <v>SI</v>
          </cell>
        </row>
        <row r="14">
          <cell r="H14" t="str">
            <v>SI</v>
          </cell>
        </row>
        <row r="15">
          <cell r="H15" t="str">
            <v>NO</v>
          </cell>
        </row>
        <row r="16">
          <cell r="H16" t="str">
            <v>NO</v>
          </cell>
        </row>
        <row r="17">
          <cell r="H17" t="str">
            <v>NO</v>
          </cell>
        </row>
        <row r="18">
          <cell r="H18" t="str">
            <v>NO</v>
          </cell>
        </row>
        <row r="19">
          <cell r="H19" t="str">
            <v>NO</v>
          </cell>
        </row>
        <row r="20">
          <cell r="H20" t="str">
            <v>NO</v>
          </cell>
        </row>
      </sheetData>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row r="7">
          <cell r="H7" t="str">
            <v>NO</v>
          </cell>
        </row>
        <row r="8">
          <cell r="H8" t="str">
            <v>NO</v>
          </cell>
        </row>
        <row r="9">
          <cell r="H9" t="str">
            <v>NO</v>
          </cell>
        </row>
        <row r="10">
          <cell r="H10" t="str">
            <v>SI</v>
          </cell>
        </row>
        <row r="11">
          <cell r="H11" t="str">
            <v>SI</v>
          </cell>
        </row>
        <row r="12">
          <cell r="H12" t="str">
            <v>NO</v>
          </cell>
        </row>
        <row r="13">
          <cell r="H13" t="str">
            <v>SI</v>
          </cell>
        </row>
        <row r="14">
          <cell r="H14" t="str">
            <v>NO</v>
          </cell>
        </row>
        <row r="15">
          <cell r="H15" t="str">
            <v>NO</v>
          </cell>
        </row>
        <row r="16">
          <cell r="H16" t="str">
            <v>NO</v>
          </cell>
        </row>
        <row r="17">
          <cell r="H17" t="str">
            <v>NO</v>
          </cell>
        </row>
        <row r="18">
          <cell r="H18" t="str">
            <v>NO</v>
          </cell>
        </row>
        <row r="19">
          <cell r="H19" t="str">
            <v>SI</v>
          </cell>
        </row>
        <row r="20">
          <cell r="H20" t="str">
            <v>NO</v>
          </cell>
        </row>
      </sheetData>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3"/>
      <sheetName val="Criterios impacto 2"/>
      <sheetName val="Criterios impacto 1"/>
      <sheetName val="Matriz Riesgos"/>
      <sheetName val="Parámetros"/>
    </sheetNames>
    <sheetDataSet>
      <sheetData sheetId="0">
        <row r="9">
          <cell r="H9" t="str">
            <v>NO</v>
          </cell>
        </row>
        <row r="10">
          <cell r="H10" t="str">
            <v>NO</v>
          </cell>
        </row>
        <row r="11">
          <cell r="H11" t="str">
            <v>SI</v>
          </cell>
        </row>
        <row r="12">
          <cell r="H12" t="str">
            <v>SI</v>
          </cell>
        </row>
        <row r="13">
          <cell r="H13" t="str">
            <v>SI</v>
          </cell>
        </row>
        <row r="14">
          <cell r="H14" t="str">
            <v>SI</v>
          </cell>
        </row>
        <row r="15">
          <cell r="H15" t="str">
            <v>SI</v>
          </cell>
        </row>
        <row r="16">
          <cell r="H16" t="str">
            <v>NO</v>
          </cell>
        </row>
        <row r="17">
          <cell r="H17" t="str">
            <v>NO</v>
          </cell>
        </row>
        <row r="18">
          <cell r="H18" t="str">
            <v>NO</v>
          </cell>
        </row>
        <row r="19">
          <cell r="H19" t="str">
            <v>SI</v>
          </cell>
        </row>
        <row r="20">
          <cell r="H20" t="str">
            <v>NO</v>
          </cell>
        </row>
      </sheetData>
      <sheetData sheetId="1">
        <row r="9">
          <cell r="H9" t="str">
            <v>NO</v>
          </cell>
        </row>
        <row r="10">
          <cell r="H10" t="str">
            <v>NO</v>
          </cell>
        </row>
        <row r="11">
          <cell r="H11" t="str">
            <v>SI</v>
          </cell>
        </row>
        <row r="12">
          <cell r="H12" t="str">
            <v>SI</v>
          </cell>
        </row>
        <row r="13">
          <cell r="H13" t="str">
            <v>SI</v>
          </cell>
        </row>
        <row r="14">
          <cell r="H14" t="str">
            <v>SI</v>
          </cell>
        </row>
        <row r="15">
          <cell r="H15" t="str">
            <v>SI</v>
          </cell>
        </row>
        <row r="16">
          <cell r="H16" t="str">
            <v>NO</v>
          </cell>
        </row>
        <row r="17">
          <cell r="H17" t="str">
            <v>NO</v>
          </cell>
        </row>
        <row r="18">
          <cell r="H18" t="str">
            <v>NO</v>
          </cell>
        </row>
        <row r="19">
          <cell r="H19" t="str">
            <v>SI</v>
          </cell>
        </row>
        <row r="20">
          <cell r="H20" t="str">
            <v>NO</v>
          </cell>
        </row>
      </sheetData>
      <sheetData sheetId="2">
        <row r="9">
          <cell r="H9" t="str">
            <v>NO</v>
          </cell>
        </row>
        <row r="10">
          <cell r="H10" t="str">
            <v>NO</v>
          </cell>
        </row>
        <row r="11">
          <cell r="H11" t="str">
            <v>SI</v>
          </cell>
        </row>
        <row r="12">
          <cell r="H12" t="str">
            <v>SI</v>
          </cell>
        </row>
        <row r="13">
          <cell r="H13" t="str">
            <v>SI</v>
          </cell>
        </row>
        <row r="14">
          <cell r="H14" t="str">
            <v>SI</v>
          </cell>
        </row>
        <row r="15">
          <cell r="H15" t="str">
            <v>SI</v>
          </cell>
        </row>
        <row r="16">
          <cell r="H16" t="str">
            <v>NO</v>
          </cell>
        </row>
        <row r="17">
          <cell r="H17" t="str">
            <v>NO</v>
          </cell>
        </row>
        <row r="18">
          <cell r="H18" t="str">
            <v>NO</v>
          </cell>
        </row>
        <row r="19">
          <cell r="H19" t="str">
            <v>SI</v>
          </cell>
        </row>
        <row r="20">
          <cell r="H20" t="str">
            <v>NO</v>
          </cell>
        </row>
      </sheetData>
      <sheetData sheetId="3" refreshError="1"/>
      <sheetData sheetId="4">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3"/>
      <sheetName val="Criterios impacto 2"/>
      <sheetName val="Criterios impacto 1"/>
      <sheetName val=" RECREACION"/>
      <sheetName val="Parámetros"/>
    </sheetNames>
    <sheetDataSet>
      <sheetData sheetId="0">
        <row r="16">
          <cell r="H16" t="str">
            <v>NO</v>
          </cell>
        </row>
        <row r="17">
          <cell r="H17" t="str">
            <v>NO</v>
          </cell>
        </row>
        <row r="18">
          <cell r="H18" t="str">
            <v>NO</v>
          </cell>
        </row>
        <row r="19">
          <cell r="H19" t="str">
            <v>SI</v>
          </cell>
        </row>
        <row r="20">
          <cell r="H20" t="str">
            <v>NO</v>
          </cell>
        </row>
      </sheetData>
      <sheetData sheetId="1">
        <row r="16">
          <cell r="H16" t="str">
            <v>NO</v>
          </cell>
        </row>
        <row r="17">
          <cell r="H17" t="str">
            <v>NO</v>
          </cell>
        </row>
        <row r="18">
          <cell r="H18" t="str">
            <v>NO</v>
          </cell>
        </row>
        <row r="19">
          <cell r="H19" t="str">
            <v>SI</v>
          </cell>
        </row>
        <row r="20">
          <cell r="H20" t="str">
            <v>NO</v>
          </cell>
        </row>
      </sheetData>
      <sheetData sheetId="2">
        <row r="16">
          <cell r="H16" t="str">
            <v>NO</v>
          </cell>
        </row>
        <row r="17">
          <cell r="H17" t="str">
            <v>NO</v>
          </cell>
        </row>
        <row r="18">
          <cell r="H18" t="str">
            <v>NO</v>
          </cell>
        </row>
        <row r="19">
          <cell r="H19" t="str">
            <v>NO</v>
          </cell>
        </row>
        <row r="20">
          <cell r="H20" t="str">
            <v>NO</v>
          </cell>
        </row>
      </sheetData>
      <sheetData sheetId="3" refreshError="1"/>
      <sheetData sheetId="4">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RTES "/>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sheetName val="Matriz Riesgos"/>
      <sheetName val="Parámetros"/>
    </sheetNames>
    <sheetDataSet>
      <sheetData sheetId="0">
        <row r="19">
          <cell r="H19" t="str">
            <v>SI</v>
          </cell>
        </row>
        <row r="20">
          <cell r="H20" t="str">
            <v>NO</v>
          </cell>
        </row>
      </sheetData>
      <sheetData sheetId="1" refreshError="1"/>
      <sheetData sheetId="2">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row r="83">
          <cell r="A83" t="str">
            <v>CONTROLES AYUDAN A DISMINUIR LA PROBABILIDAD</v>
          </cell>
          <cell r="B83" t="str">
            <v>CONTROLES AYUDAN A DISMINUIR EL IMPACTO</v>
          </cell>
        </row>
        <row r="84">
          <cell r="A84" t="str">
            <v>Directamente</v>
          </cell>
          <cell r="B84" t="str">
            <v>Directamente</v>
          </cell>
        </row>
        <row r="85">
          <cell r="A85" t="str">
            <v>No Disminuye</v>
          </cell>
          <cell r="B85" t="str">
            <v>Indirectamente</v>
          </cell>
        </row>
        <row r="86">
          <cell r="B86" t="str">
            <v>No Disminuye</v>
          </cell>
        </row>
        <row r="88">
          <cell r="A88" t="str">
            <v>TIPO DE CONTROL</v>
          </cell>
        </row>
        <row r="89">
          <cell r="A89" t="str">
            <v>Preventivo</v>
          </cell>
        </row>
        <row r="90">
          <cell r="A90" t="str">
            <v>Detectivo</v>
          </cell>
        </row>
        <row r="92">
          <cell r="A92" t="str">
            <v>RESPUESTAS AL RIESGO</v>
          </cell>
        </row>
        <row r="93">
          <cell r="A93" t="str">
            <v>Evitar</v>
          </cell>
        </row>
        <row r="94">
          <cell r="A94" t="str">
            <v>Reducir</v>
          </cell>
        </row>
        <row r="95">
          <cell r="A95" t="str">
            <v>Compartir</v>
          </cell>
        </row>
        <row r="96">
          <cell r="A96" t="str">
            <v>Aceptar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Criterios impacto 2"/>
      <sheetName val="Matriz Riesgos"/>
      <sheetName val="Parámetros"/>
    </sheetNames>
    <sheetDataSet>
      <sheetData sheetId="0">
        <row r="19">
          <cell r="H19" t="str">
            <v>SI</v>
          </cell>
        </row>
        <row r="20">
          <cell r="H20" t="str">
            <v>NO</v>
          </cell>
        </row>
      </sheetData>
      <sheetData sheetId="1">
        <row r="19">
          <cell r="H19" t="str">
            <v>SI</v>
          </cell>
        </row>
        <row r="20">
          <cell r="H20" t="str">
            <v>NO</v>
          </cell>
        </row>
      </sheetData>
      <sheetData sheetId="2" refreshError="1"/>
      <sheetData sheetId="3">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8">
      <pivotArea field="1" type="button" dataOnly="0" labelOnly="1" outline="0" axis="axisRow" fieldPosition="1"/>
    </format>
    <format dxfId="7">
      <pivotArea dataOnly="0" labelOnly="1" outline="0" fieldPosition="0">
        <references count="1">
          <reference field="0" count="1">
            <x v="0"/>
          </reference>
        </references>
      </pivotArea>
    </format>
    <format dxfId="6">
      <pivotArea dataOnly="0" labelOnly="1" outline="0" fieldPosition="0">
        <references count="1">
          <reference field="0" count="1">
            <x v="1"/>
          </reference>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9"/>
  <sheetViews>
    <sheetView tabSelected="1" zoomScale="32" zoomScaleNormal="32" workbookViewId="0">
      <pane ySplit="2" topLeftCell="A27" activePane="bottomLeft" state="frozen"/>
      <selection pane="bottomLeft" activeCell="P29" sqref="P29"/>
    </sheetView>
  </sheetViews>
  <sheetFormatPr baseColWidth="10" defaultColWidth="11.44140625" defaultRowHeight="24.6" x14ac:dyDescent="0.4"/>
  <cols>
    <col min="1" max="1" width="41.88671875" style="71" customWidth="1"/>
    <col min="2" max="5" width="41.88671875" style="71" hidden="1" customWidth="1"/>
    <col min="6" max="6" width="102.33203125" style="71" hidden="1" customWidth="1"/>
    <col min="7" max="7" width="94.44140625" style="71" customWidth="1"/>
    <col min="8" max="8" width="102.33203125" style="71" customWidth="1"/>
    <col min="9" max="12" width="41.88671875" style="158" hidden="1" customWidth="1"/>
    <col min="13" max="13" width="41.88671875" style="158" customWidth="1"/>
    <col min="14" max="15" width="54.109375" style="71" customWidth="1"/>
    <col min="16" max="16" width="48.109375" style="71" customWidth="1"/>
    <col min="17" max="17" width="104.109375" style="71" customWidth="1"/>
    <col min="18" max="19" width="54.109375" style="71" customWidth="1"/>
    <col min="20" max="20" width="64.6640625" style="71" customWidth="1"/>
    <col min="21" max="36" width="41.88671875" style="71" hidden="1" customWidth="1"/>
    <col min="37" max="39" width="28.44140625" style="71" hidden="1" customWidth="1"/>
    <col min="40" max="40" width="34" style="71" customWidth="1"/>
    <col min="41" max="41" width="39.6640625" style="71" customWidth="1"/>
    <col min="42" max="43" width="28.44140625" style="71" hidden="1" customWidth="1"/>
    <col min="44" max="44" width="48.88671875" style="71" customWidth="1"/>
    <col min="45" max="45" width="28.44140625" style="71" hidden="1" customWidth="1"/>
    <col min="46" max="46" width="62.6640625" style="71" customWidth="1"/>
    <col min="47" max="47" width="132.6640625" style="71" customWidth="1"/>
    <col min="48" max="48" width="109.44140625" style="71" customWidth="1"/>
    <col min="49" max="49" width="125.6640625" style="71" customWidth="1"/>
    <col min="50" max="16384" width="11.44140625" style="71"/>
  </cols>
  <sheetData>
    <row r="1" spans="1:60" ht="93.75" customHeight="1" x14ac:dyDescent="0.4">
      <c r="A1" s="184"/>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5"/>
      <c r="AU1" s="183" t="s">
        <v>627</v>
      </c>
      <c r="AV1" s="183"/>
      <c r="AW1" s="186" t="s">
        <v>625</v>
      </c>
    </row>
    <row r="2" spans="1:60" ht="194.25" customHeight="1" x14ac:dyDescent="0.4">
      <c r="A2" s="66" t="s">
        <v>200</v>
      </c>
      <c r="B2" s="67" t="s">
        <v>201</v>
      </c>
      <c r="C2" s="67" t="s">
        <v>202</v>
      </c>
      <c r="D2" s="67" t="s">
        <v>203</v>
      </c>
      <c r="E2" s="67" t="s">
        <v>127</v>
      </c>
      <c r="F2" s="67" t="s">
        <v>128</v>
      </c>
      <c r="G2" s="67" t="s">
        <v>129</v>
      </c>
      <c r="H2" s="67" t="s">
        <v>130</v>
      </c>
      <c r="I2" s="68" t="s">
        <v>131</v>
      </c>
      <c r="J2" s="69" t="s">
        <v>132</v>
      </c>
      <c r="K2" s="60" t="s">
        <v>66</v>
      </c>
      <c r="L2" s="68" t="s">
        <v>133</v>
      </c>
      <c r="M2" s="68" t="s">
        <v>134</v>
      </c>
      <c r="N2" s="67" t="s">
        <v>135</v>
      </c>
      <c r="O2" s="67" t="s">
        <v>136</v>
      </c>
      <c r="P2" s="67" t="s">
        <v>137</v>
      </c>
      <c r="Q2" s="67" t="s">
        <v>138</v>
      </c>
      <c r="R2" s="163" t="s">
        <v>139</v>
      </c>
      <c r="S2" s="174" t="s">
        <v>140</v>
      </c>
      <c r="T2" s="174" t="s">
        <v>141</v>
      </c>
      <c r="U2" s="174" t="s">
        <v>142</v>
      </c>
      <c r="V2" s="174" t="s">
        <v>143</v>
      </c>
      <c r="W2" s="174" t="s">
        <v>144</v>
      </c>
      <c r="X2" s="174" t="s">
        <v>145</v>
      </c>
      <c r="Y2" s="174" t="s">
        <v>146</v>
      </c>
      <c r="Z2" s="174" t="s">
        <v>147</v>
      </c>
      <c r="AA2" s="174" t="s">
        <v>148</v>
      </c>
      <c r="AB2" s="174" t="s">
        <v>149</v>
      </c>
      <c r="AC2" s="174" t="s">
        <v>150</v>
      </c>
      <c r="AD2" s="174" t="s">
        <v>151</v>
      </c>
      <c r="AE2" s="174" t="s">
        <v>152</v>
      </c>
      <c r="AF2" s="174" t="s">
        <v>153</v>
      </c>
      <c r="AG2" s="174" t="s">
        <v>154</v>
      </c>
      <c r="AH2" s="174" t="s">
        <v>155</v>
      </c>
      <c r="AI2" s="174" t="s">
        <v>156</v>
      </c>
      <c r="AJ2" s="174" t="s">
        <v>157</v>
      </c>
      <c r="AK2" s="174" t="s">
        <v>158</v>
      </c>
      <c r="AL2" s="174" t="s">
        <v>159</v>
      </c>
      <c r="AM2" s="174" t="s">
        <v>160</v>
      </c>
      <c r="AN2" s="174" t="s">
        <v>161</v>
      </c>
      <c r="AO2" s="174" t="s">
        <v>162</v>
      </c>
      <c r="AP2" s="174" t="s">
        <v>163</v>
      </c>
      <c r="AQ2" s="174" t="s">
        <v>164</v>
      </c>
      <c r="AR2" s="174" t="s">
        <v>165</v>
      </c>
      <c r="AS2" s="174" t="s">
        <v>166</v>
      </c>
      <c r="AT2" s="175" t="s">
        <v>167</v>
      </c>
      <c r="AU2" s="176" t="s">
        <v>626</v>
      </c>
      <c r="AV2" s="70" t="s">
        <v>624</v>
      </c>
      <c r="AW2" s="187"/>
      <c r="BH2" s="72"/>
    </row>
    <row r="3" spans="1:60" s="77" customFormat="1" ht="186" customHeight="1" x14ac:dyDescent="0.4">
      <c r="A3" s="209" t="s">
        <v>204</v>
      </c>
      <c r="B3" s="248" t="s">
        <v>205</v>
      </c>
      <c r="C3" s="210" t="s">
        <v>206</v>
      </c>
      <c r="D3" s="249" t="s">
        <v>207</v>
      </c>
      <c r="E3" s="210" t="s">
        <v>168</v>
      </c>
      <c r="F3" s="73" t="s">
        <v>169</v>
      </c>
      <c r="G3" s="248" t="s">
        <v>170</v>
      </c>
      <c r="H3" s="248" t="s">
        <v>171</v>
      </c>
      <c r="I3" s="231" t="s">
        <v>172</v>
      </c>
      <c r="J3" s="208" t="e">
        <f t="shared" ref="J3" si="0">IF(K3&lt;6,"Moderado (3)",IF(K3&lt;12,"Mayor (4)","Catastrófico (5)"))</f>
        <v>#VALUE!</v>
      </c>
      <c r="K3" s="199" t="e">
        <f>COUNTIF('[1]Criterios impacto 1'!P2:P20,"SI")</f>
        <v>#VALUE!</v>
      </c>
      <c r="L3" s="208" t="e">
        <f>VLOOKUP(CONCATENATE(I3,J3),[1]Parámetros!$A$56:$B$80,2,FALSE)</f>
        <v>#VALUE!</v>
      </c>
      <c r="M3" s="74" t="s">
        <v>7</v>
      </c>
      <c r="N3" s="181" t="s">
        <v>126</v>
      </c>
      <c r="O3" s="75" t="s">
        <v>126</v>
      </c>
      <c r="P3" s="75" t="s">
        <v>173</v>
      </c>
      <c r="Q3" s="75" t="s">
        <v>174</v>
      </c>
      <c r="R3" s="164" t="s">
        <v>175</v>
      </c>
      <c r="S3" s="75" t="s">
        <v>176</v>
      </c>
      <c r="T3" s="75" t="s">
        <v>177</v>
      </c>
      <c r="U3" s="75">
        <v>15</v>
      </c>
      <c r="V3" s="75">
        <v>15</v>
      </c>
      <c r="W3" s="75">
        <v>15</v>
      </c>
      <c r="X3" s="75">
        <v>15</v>
      </c>
      <c r="Y3" s="75">
        <v>15</v>
      </c>
      <c r="Z3" s="75">
        <v>15</v>
      </c>
      <c r="AA3" s="75">
        <v>10</v>
      </c>
      <c r="AB3" s="75">
        <v>100</v>
      </c>
      <c r="AC3" s="75" t="s">
        <v>178</v>
      </c>
      <c r="AD3" s="75" t="s">
        <v>178</v>
      </c>
      <c r="AE3" s="75" t="str">
        <f>VLOOKUP(CONCATENATE(AC3,AD3),[1]Parámetros!$A$2:$B$10,2,FALSE)</f>
        <v>Fuerte</v>
      </c>
      <c r="AF3" s="75">
        <v>100</v>
      </c>
      <c r="AG3" s="181" t="s">
        <v>179</v>
      </c>
      <c r="AH3" s="76" t="s">
        <v>180</v>
      </c>
      <c r="AI3" s="76" t="s">
        <v>181</v>
      </c>
      <c r="AJ3" s="76">
        <v>1</v>
      </c>
      <c r="AK3" s="76">
        <v>0</v>
      </c>
      <c r="AL3" s="181" t="s">
        <v>172</v>
      </c>
      <c r="AM3" s="251" t="s">
        <v>182</v>
      </c>
      <c r="AN3" s="195" t="str">
        <f>VLOOKUP(CONCATENATE(AL3,AM3),[1]Parámetros!$A$56:$B$80,2,FALSE)</f>
        <v>Moderado (3)</v>
      </c>
      <c r="AO3" s="248" t="s">
        <v>183</v>
      </c>
      <c r="AP3" s="181" t="s">
        <v>126</v>
      </c>
      <c r="AQ3" s="181" t="s">
        <v>184</v>
      </c>
      <c r="AR3" s="248" t="s">
        <v>611</v>
      </c>
      <c r="AS3" s="248" t="s">
        <v>185</v>
      </c>
      <c r="AT3" s="250" t="s">
        <v>186</v>
      </c>
      <c r="AU3" s="252" t="s">
        <v>612</v>
      </c>
      <c r="AV3" s="252" t="s">
        <v>576</v>
      </c>
      <c r="AW3" s="248" t="s">
        <v>587</v>
      </c>
    </row>
    <row r="4" spans="1:60" s="77" customFormat="1" ht="157.5" customHeight="1" x14ac:dyDescent="0.4">
      <c r="A4" s="209"/>
      <c r="B4" s="248"/>
      <c r="C4" s="210"/>
      <c r="D4" s="249"/>
      <c r="E4" s="210"/>
      <c r="F4" s="73" t="s">
        <v>187</v>
      </c>
      <c r="G4" s="248"/>
      <c r="H4" s="248"/>
      <c r="I4" s="231"/>
      <c r="J4" s="208"/>
      <c r="K4" s="199"/>
      <c r="L4" s="208"/>
      <c r="M4" s="74" t="s">
        <v>188</v>
      </c>
      <c r="N4" s="181"/>
      <c r="O4" s="75" t="s">
        <v>126</v>
      </c>
      <c r="P4" s="75" t="s">
        <v>189</v>
      </c>
      <c r="Q4" s="75" t="s">
        <v>190</v>
      </c>
      <c r="R4" s="164" t="s">
        <v>191</v>
      </c>
      <c r="S4" s="75" t="s">
        <v>192</v>
      </c>
      <c r="T4" s="75" t="s">
        <v>193</v>
      </c>
      <c r="U4" s="75">
        <v>15</v>
      </c>
      <c r="V4" s="75">
        <v>15</v>
      </c>
      <c r="W4" s="75">
        <v>15</v>
      </c>
      <c r="X4" s="75">
        <v>15</v>
      </c>
      <c r="Y4" s="75">
        <v>15</v>
      </c>
      <c r="Z4" s="75">
        <v>15</v>
      </c>
      <c r="AA4" s="75">
        <v>10</v>
      </c>
      <c r="AB4" s="75">
        <v>100</v>
      </c>
      <c r="AC4" s="75" t="s">
        <v>178</v>
      </c>
      <c r="AD4" s="75" t="s">
        <v>178</v>
      </c>
      <c r="AE4" s="75" t="s">
        <v>178</v>
      </c>
      <c r="AF4" s="75">
        <v>100</v>
      </c>
      <c r="AG4" s="181"/>
      <c r="AH4" s="76" t="s">
        <v>180</v>
      </c>
      <c r="AI4" s="76" t="s">
        <v>181</v>
      </c>
      <c r="AJ4" s="76">
        <v>1</v>
      </c>
      <c r="AK4" s="76">
        <v>0</v>
      </c>
      <c r="AL4" s="181"/>
      <c r="AM4" s="251"/>
      <c r="AN4" s="195"/>
      <c r="AO4" s="248"/>
      <c r="AP4" s="181"/>
      <c r="AQ4" s="181"/>
      <c r="AR4" s="248"/>
      <c r="AS4" s="248"/>
      <c r="AT4" s="250"/>
      <c r="AU4" s="252"/>
      <c r="AV4" s="252"/>
      <c r="AW4" s="248"/>
    </row>
    <row r="5" spans="1:60" s="77" customFormat="1" ht="186" customHeight="1" x14ac:dyDescent="0.4">
      <c r="A5" s="209"/>
      <c r="B5" s="248"/>
      <c r="C5" s="210"/>
      <c r="D5" s="249"/>
      <c r="E5" s="210"/>
      <c r="F5" s="73" t="s">
        <v>194</v>
      </c>
      <c r="G5" s="248"/>
      <c r="H5" s="248"/>
      <c r="I5" s="231"/>
      <c r="J5" s="208"/>
      <c r="K5" s="199"/>
      <c r="L5" s="208"/>
      <c r="M5" s="74" t="s">
        <v>8</v>
      </c>
      <c r="N5" s="181"/>
      <c r="O5" s="75" t="s">
        <v>126</v>
      </c>
      <c r="P5" s="75" t="s">
        <v>195</v>
      </c>
      <c r="Q5" s="78" t="s">
        <v>196</v>
      </c>
      <c r="R5" s="165" t="s">
        <v>197</v>
      </c>
      <c r="S5" s="75" t="s">
        <v>198</v>
      </c>
      <c r="T5" s="75" t="s">
        <v>199</v>
      </c>
      <c r="U5" s="75">
        <v>15</v>
      </c>
      <c r="V5" s="75">
        <v>15</v>
      </c>
      <c r="W5" s="75">
        <v>15</v>
      </c>
      <c r="X5" s="75">
        <v>10</v>
      </c>
      <c r="Y5" s="75">
        <v>15</v>
      </c>
      <c r="Z5" s="75">
        <v>15</v>
      </c>
      <c r="AA5" s="75">
        <v>10</v>
      </c>
      <c r="AB5" s="75">
        <v>95</v>
      </c>
      <c r="AC5" s="75" t="s">
        <v>56</v>
      </c>
      <c r="AD5" s="75" t="s">
        <v>178</v>
      </c>
      <c r="AE5" s="75" t="str">
        <f>VLOOKUP(CONCATENATE(AC5,AD5),[1]Parámetros!$A$2:$B$10,2,FALSE)</f>
        <v>Moderado</v>
      </c>
      <c r="AF5" s="75">
        <v>50</v>
      </c>
      <c r="AG5" s="181"/>
      <c r="AH5" s="76" t="s">
        <v>180</v>
      </c>
      <c r="AI5" s="76" t="s">
        <v>181</v>
      </c>
      <c r="AJ5" s="76">
        <v>1</v>
      </c>
      <c r="AK5" s="76">
        <v>0</v>
      </c>
      <c r="AL5" s="181"/>
      <c r="AM5" s="251"/>
      <c r="AN5" s="195"/>
      <c r="AO5" s="248"/>
      <c r="AP5" s="181"/>
      <c r="AQ5" s="181"/>
      <c r="AR5" s="248"/>
      <c r="AS5" s="248"/>
      <c r="AT5" s="250"/>
      <c r="AU5" s="252"/>
      <c r="AV5" s="252"/>
      <c r="AW5" s="248"/>
    </row>
    <row r="6" spans="1:60" ht="135" customHeight="1" x14ac:dyDescent="0.4">
      <c r="A6" s="237" t="s">
        <v>208</v>
      </c>
      <c r="B6" s="79" t="s">
        <v>209</v>
      </c>
      <c r="C6" s="79" t="s">
        <v>206</v>
      </c>
      <c r="D6" s="79" t="s">
        <v>207</v>
      </c>
      <c r="E6" s="79" t="s">
        <v>168</v>
      </c>
      <c r="F6" s="79" t="s">
        <v>613</v>
      </c>
      <c r="G6" s="79" t="s">
        <v>210</v>
      </c>
      <c r="H6" s="80" t="s">
        <v>211</v>
      </c>
      <c r="I6" s="81" t="s">
        <v>212</v>
      </c>
      <c r="J6" s="74" t="e">
        <f>IF(K6&lt;6,"Moderado (3)",IF(K6&lt;12,"Mayor (4)","Catastrófico (5)"))</f>
        <v>#VALUE!</v>
      </c>
      <c r="K6" s="61" t="e">
        <f>COUNTIF('[2]Criterios impacto 1'!H5:H23,"SI")</f>
        <v>#VALUE!</v>
      </c>
      <c r="L6" s="82" t="str">
        <f>IFERROR(VLOOKUP(CONCATENATE(I6,J6),[2]Parámetro!$A$56:$B$80,2,FALSE),"-")</f>
        <v>-</v>
      </c>
      <c r="M6" s="83" t="s">
        <v>7</v>
      </c>
      <c r="N6" s="84" t="s">
        <v>213</v>
      </c>
      <c r="O6" s="58" t="s">
        <v>214</v>
      </c>
      <c r="P6" s="85" t="s">
        <v>215</v>
      </c>
      <c r="Q6" s="85" t="s">
        <v>216</v>
      </c>
      <c r="R6" s="166" t="s">
        <v>217</v>
      </c>
      <c r="S6" s="58" t="s">
        <v>218</v>
      </c>
      <c r="T6" s="86" t="s">
        <v>614</v>
      </c>
      <c r="U6" s="79">
        <v>15</v>
      </c>
      <c r="V6" s="79">
        <v>15</v>
      </c>
      <c r="W6" s="79">
        <v>15</v>
      </c>
      <c r="X6" s="79">
        <v>15</v>
      </c>
      <c r="Y6" s="79">
        <v>15</v>
      </c>
      <c r="Z6" s="79">
        <v>15</v>
      </c>
      <c r="AA6" s="79">
        <v>10</v>
      </c>
      <c r="AB6" s="79">
        <f t="shared" ref="AB6:AB7" si="1">SUM(U6:AA6)</f>
        <v>100</v>
      </c>
      <c r="AC6" s="79" t="s">
        <v>178</v>
      </c>
      <c r="AD6" s="79" t="s">
        <v>178</v>
      </c>
      <c r="AE6" s="79" t="str">
        <f>IFERROR(VLOOKUP(CONCATENATE(AC6,AD6),[2]Parámetro!$A$2:$B$10,2,FALSE),"-")</f>
        <v>Fuerte</v>
      </c>
      <c r="AF6" s="79">
        <v>100</v>
      </c>
      <c r="AG6" s="79" t="s">
        <v>178</v>
      </c>
      <c r="AH6" s="79" t="s">
        <v>180</v>
      </c>
      <c r="AI6" s="79" t="s">
        <v>181</v>
      </c>
      <c r="AJ6" s="79">
        <v>2</v>
      </c>
      <c r="AK6" s="79">
        <v>0</v>
      </c>
      <c r="AL6" s="84" t="s">
        <v>172</v>
      </c>
      <c r="AM6" s="84" t="s">
        <v>182</v>
      </c>
      <c r="AN6" s="87" t="str">
        <f>IFERROR(VLOOKUP(CONCATENATE(AL6,AM6),[2]Parámetro!$A$56:$B$80,2,FALSE),"-")</f>
        <v>Moderado (3)</v>
      </c>
      <c r="AO6" s="85" t="s">
        <v>219</v>
      </c>
      <c r="AP6" s="86" t="s">
        <v>220</v>
      </c>
      <c r="AQ6" s="88" t="s">
        <v>221</v>
      </c>
      <c r="AR6" s="79" t="s">
        <v>222</v>
      </c>
      <c r="AS6" s="237" t="s">
        <v>223</v>
      </c>
      <c r="AT6" s="64" t="s">
        <v>224</v>
      </c>
      <c r="AU6" s="89" t="s">
        <v>577</v>
      </c>
      <c r="AV6" s="89" t="s">
        <v>578</v>
      </c>
      <c r="AW6" s="253" t="s">
        <v>586</v>
      </c>
    </row>
    <row r="7" spans="1:60" ht="135" customHeight="1" x14ac:dyDescent="0.4">
      <c r="A7" s="237"/>
      <c r="B7" s="79" t="s">
        <v>209</v>
      </c>
      <c r="C7" s="79" t="s">
        <v>206</v>
      </c>
      <c r="D7" s="79" t="s">
        <v>207</v>
      </c>
      <c r="E7" s="79" t="s">
        <v>168</v>
      </c>
      <c r="F7" s="58" t="s">
        <v>225</v>
      </c>
      <c r="G7" s="85" t="s">
        <v>226</v>
      </c>
      <c r="H7" s="90" t="s">
        <v>227</v>
      </c>
      <c r="I7" s="81" t="s">
        <v>212</v>
      </c>
      <c r="J7" s="91" t="e">
        <f>IF(K7&lt;6,"Moderado (3)",IF(K7&lt;12,"Mayor (4)","Catastrófico (5)"))</f>
        <v>#VALUE!</v>
      </c>
      <c r="K7" s="61" t="e">
        <f>COUNTIF('[2]Criterios impacto 2'!H5:H23,"SI")</f>
        <v>#VALUE!</v>
      </c>
      <c r="L7" s="92" t="str">
        <f>IFERROR(VLOOKUP(CONCATENATE(I7,J7),[2]Parámetro!$A$56:$B$80,2,FALSE),"-")</f>
        <v>-</v>
      </c>
      <c r="M7" s="81" t="s">
        <v>7</v>
      </c>
      <c r="N7" s="79" t="s">
        <v>213</v>
      </c>
      <c r="O7" s="86" t="s">
        <v>228</v>
      </c>
      <c r="P7" s="86" t="s">
        <v>229</v>
      </c>
      <c r="Q7" s="85" t="s">
        <v>230</v>
      </c>
      <c r="R7" s="166" t="s">
        <v>231</v>
      </c>
      <c r="S7" s="79" t="s">
        <v>232</v>
      </c>
      <c r="T7" s="86" t="s">
        <v>233</v>
      </c>
      <c r="U7" s="79">
        <v>15</v>
      </c>
      <c r="V7" s="79">
        <v>15</v>
      </c>
      <c r="W7" s="79">
        <v>15</v>
      </c>
      <c r="X7" s="85">
        <v>15</v>
      </c>
      <c r="Y7" s="79">
        <v>15</v>
      </c>
      <c r="Z7" s="79">
        <v>15</v>
      </c>
      <c r="AA7" s="79">
        <v>10</v>
      </c>
      <c r="AB7" s="79">
        <f t="shared" si="1"/>
        <v>100</v>
      </c>
      <c r="AC7" s="79" t="s">
        <v>178</v>
      </c>
      <c r="AD7" s="79" t="s">
        <v>178</v>
      </c>
      <c r="AE7" s="79" t="str">
        <f>IFERROR(VLOOKUP(CONCATENATE(AC7,AD7),[2]Parámetro!$A$2:$B$10,2,FALSE),"-")</f>
        <v>Fuerte</v>
      </c>
      <c r="AF7" s="79">
        <v>100</v>
      </c>
      <c r="AG7" s="79" t="s">
        <v>178</v>
      </c>
      <c r="AH7" s="79" t="s">
        <v>180</v>
      </c>
      <c r="AI7" s="79" t="s">
        <v>181</v>
      </c>
      <c r="AJ7" s="79">
        <v>2</v>
      </c>
      <c r="AK7" s="79">
        <v>0</v>
      </c>
      <c r="AL7" s="79" t="s">
        <v>172</v>
      </c>
      <c r="AM7" s="79" t="s">
        <v>182</v>
      </c>
      <c r="AN7" s="93" t="str">
        <f>IFERROR(VLOOKUP(CONCATENATE(AL7,AM7),[2]Parámetro!$A$56:$B$80,2,FALSE),"-")</f>
        <v>Moderado (3)</v>
      </c>
      <c r="AO7" s="79" t="s">
        <v>234</v>
      </c>
      <c r="AP7" s="86" t="s">
        <v>235</v>
      </c>
      <c r="AQ7" s="88" t="s">
        <v>221</v>
      </c>
      <c r="AR7" s="86" t="s">
        <v>615</v>
      </c>
      <c r="AS7" s="237"/>
      <c r="AT7" s="159" t="s">
        <v>236</v>
      </c>
      <c r="AU7" s="89" t="s">
        <v>579</v>
      </c>
      <c r="AV7" s="89" t="s">
        <v>580</v>
      </c>
      <c r="AW7" s="253"/>
    </row>
    <row r="8" spans="1:60" ht="156.75" customHeight="1" x14ac:dyDescent="0.4">
      <c r="A8" s="94" t="s">
        <v>237</v>
      </c>
      <c r="B8" s="75" t="s">
        <v>238</v>
      </c>
      <c r="C8" s="75" t="s">
        <v>206</v>
      </c>
      <c r="D8" s="95" t="s">
        <v>207</v>
      </c>
      <c r="E8" s="96" t="s">
        <v>168</v>
      </c>
      <c r="F8" s="97" t="s">
        <v>239</v>
      </c>
      <c r="G8" s="98" t="s">
        <v>240</v>
      </c>
      <c r="H8" s="75" t="s">
        <v>241</v>
      </c>
      <c r="I8" s="74" t="s">
        <v>172</v>
      </c>
      <c r="J8" s="99" t="e">
        <f>IF(K8&lt;6,"Moderado (3)",IF(K8&lt;12,"Mayor (4)","Catastrófico (5)"))</f>
        <v>#VALUE!</v>
      </c>
      <c r="K8" s="61" t="e">
        <f>COUNTIF('[3]Criterios impacto 1'!H7:H25,"SI")</f>
        <v>#VALUE!</v>
      </c>
      <c r="L8" s="99" t="e">
        <f>VLOOKUP(CONCATENATE(I8,J8),[3]Parámetros!$A$56:$B$80,2,FALSE)</f>
        <v>#VALUE!</v>
      </c>
      <c r="M8" s="74" t="s">
        <v>8</v>
      </c>
      <c r="N8" s="75" t="s">
        <v>242</v>
      </c>
      <c r="O8" s="75" t="s">
        <v>243</v>
      </c>
      <c r="P8" s="58" t="s">
        <v>244</v>
      </c>
      <c r="Q8" s="85" t="s">
        <v>245</v>
      </c>
      <c r="R8" s="167" t="s">
        <v>246</v>
      </c>
      <c r="S8" s="58" t="s">
        <v>247</v>
      </c>
      <c r="T8" s="100" t="s">
        <v>616</v>
      </c>
      <c r="U8" s="75">
        <v>15</v>
      </c>
      <c r="V8" s="75">
        <v>15</v>
      </c>
      <c r="W8" s="75">
        <v>15</v>
      </c>
      <c r="X8" s="75">
        <v>10</v>
      </c>
      <c r="Y8" s="75">
        <v>15</v>
      </c>
      <c r="Z8" s="75">
        <v>15</v>
      </c>
      <c r="AA8" s="75">
        <v>10</v>
      </c>
      <c r="AB8" s="75">
        <f>SUM(U8:AA8)</f>
        <v>95</v>
      </c>
      <c r="AC8" s="101" t="s">
        <v>56</v>
      </c>
      <c r="AD8" s="75" t="s">
        <v>178</v>
      </c>
      <c r="AE8" s="75" t="str">
        <f>VLOOKUP(CONCATENATE(AC8,AD8),[3]Parámetros!$A$2:$B$10,2,FALSE)</f>
        <v>Moderado</v>
      </c>
      <c r="AF8" s="101">
        <v>50</v>
      </c>
      <c r="AG8" s="96" t="s">
        <v>56</v>
      </c>
      <c r="AH8" s="96" t="s">
        <v>180</v>
      </c>
      <c r="AI8" s="96" t="s">
        <v>181</v>
      </c>
      <c r="AJ8" s="75">
        <f>VLOOKUP(CONCATENATE(AG8,AH8,AI8),[3]Parámetros!$A$13:$B$24,2,FALSE)</f>
        <v>1</v>
      </c>
      <c r="AK8" s="75">
        <f>VLOOKUP(CONCATENATE(AG8,AH8,AI8),[3]Parámetros!$A$27:$B$38,2,FALSE)</f>
        <v>0</v>
      </c>
      <c r="AL8" s="102" t="s">
        <v>172</v>
      </c>
      <c r="AM8" s="102" t="s">
        <v>182</v>
      </c>
      <c r="AN8" s="103" t="str">
        <f>VLOOKUP(CONCATENATE(AL8,AM8),[3]Parámetros!$A$56:$B$80,2,FALSE)</f>
        <v>Moderado (3)</v>
      </c>
      <c r="AO8" s="58" t="s">
        <v>248</v>
      </c>
      <c r="AP8" s="58" t="s">
        <v>249</v>
      </c>
      <c r="AQ8" s="58" t="s">
        <v>250</v>
      </c>
      <c r="AR8" s="85" t="s">
        <v>251</v>
      </c>
      <c r="AS8" s="85" t="s">
        <v>252</v>
      </c>
      <c r="AT8" s="64" t="s">
        <v>253</v>
      </c>
      <c r="AU8" s="179" t="s">
        <v>581</v>
      </c>
      <c r="AV8" s="104" t="s">
        <v>582</v>
      </c>
      <c r="AW8" s="177" t="s">
        <v>585</v>
      </c>
    </row>
    <row r="9" spans="1:60" ht="97.5" customHeight="1" x14ac:dyDescent="0.4">
      <c r="A9" s="209" t="s">
        <v>254</v>
      </c>
      <c r="B9" s="246" t="s">
        <v>255</v>
      </c>
      <c r="C9" s="246" t="s">
        <v>206</v>
      </c>
      <c r="D9" s="247" t="s">
        <v>207</v>
      </c>
      <c r="E9" s="245" t="s">
        <v>168</v>
      </c>
      <c r="F9" s="105" t="s">
        <v>256</v>
      </c>
      <c r="G9" s="245" t="s">
        <v>257</v>
      </c>
      <c r="H9" s="245" t="s">
        <v>258</v>
      </c>
      <c r="I9" s="205" t="s">
        <v>172</v>
      </c>
      <c r="J9" s="208" t="e">
        <f>IF(K9&lt;6,"Moderado (3)",IF(K9&lt;12,"Mayor (4)","Catastrófico (5)"))</f>
        <v>#VALUE!</v>
      </c>
      <c r="K9" s="207" t="e">
        <f>COUNTIF('[4]Criterios impacto 1'!H9:H27,"SI")</f>
        <v>#VALUE!</v>
      </c>
      <c r="L9" s="208" t="e">
        <f>VLOOKUP(CONCATENATE(I9,J9),[5]Parámetros!$A$56:$B$80,2,FALSE)</f>
        <v>#VALUE!</v>
      </c>
      <c r="M9" s="81" t="s">
        <v>7</v>
      </c>
      <c r="N9" s="204" t="s">
        <v>259</v>
      </c>
      <c r="O9" s="96" t="s">
        <v>260</v>
      </c>
      <c r="P9" s="96" t="s">
        <v>261</v>
      </c>
      <c r="Q9" s="96" t="s">
        <v>262</v>
      </c>
      <c r="R9" s="168" t="s">
        <v>263</v>
      </c>
      <c r="S9" s="96" t="s">
        <v>264</v>
      </c>
      <c r="T9" s="96" t="s">
        <v>265</v>
      </c>
      <c r="U9" s="95">
        <v>15</v>
      </c>
      <c r="V9" s="95">
        <v>15</v>
      </c>
      <c r="W9" s="95">
        <v>15</v>
      </c>
      <c r="X9" s="95">
        <v>15</v>
      </c>
      <c r="Y9" s="95">
        <v>15</v>
      </c>
      <c r="Z9" s="95">
        <v>15</v>
      </c>
      <c r="AA9" s="95">
        <v>10</v>
      </c>
      <c r="AB9" s="75">
        <f t="shared" ref="AB9:AB14" si="2">SUM(U9:AA9)</f>
        <v>100</v>
      </c>
      <c r="AC9" s="75" t="str">
        <f t="shared" ref="AC9" si="3">_xlfn.IFS(AB9&lt;=85,"Débil",AB9&gt;=96,"Fuerte",AB9&gt;=86,"Moderado")</f>
        <v>Fuerte</v>
      </c>
      <c r="AD9" s="75" t="s">
        <v>178</v>
      </c>
      <c r="AE9" s="75" t="str">
        <f>VLOOKUP(CONCATENATE(AC9,AD9),[4]Parámetros!$A$2:$B$10,2,FALSE)</f>
        <v>Fuerte</v>
      </c>
      <c r="AF9" s="75">
        <f t="shared" ref="AF9" si="4">_xlfn.IFS(AE9="Fuerte",100,AE9="Moderado",50,AE9="Débil",0)</f>
        <v>100</v>
      </c>
      <c r="AG9" s="210" t="str">
        <f>_xlfn.IFS(AVERAGE(AF9:AF10)=100,"Fuerte",AVERAGE(AF9)&lt;50,"Débil",AVERAGE(AF9)&gt;=50,"Moderado")</f>
        <v>Fuerte</v>
      </c>
      <c r="AH9" s="75" t="s">
        <v>180</v>
      </c>
      <c r="AI9" s="75" t="s">
        <v>181</v>
      </c>
      <c r="AJ9" s="75">
        <f>VLOOKUP(CONCATENATE(AG9,AH9,AI9),[4]Parámetros!$A$13:$B$24,2,FALSE)</f>
        <v>2</v>
      </c>
      <c r="AK9" s="75">
        <f>VLOOKUP(CONCATENATE(AG9,AH9,AI9),[4]Parámetros!$A$27:$B$38,2,FALSE)</f>
        <v>0</v>
      </c>
      <c r="AL9" s="241" t="s">
        <v>172</v>
      </c>
      <c r="AM9" s="241" t="s">
        <v>266</v>
      </c>
      <c r="AN9" s="213" t="str">
        <f>VLOOKUP(CONCATENATE(AL9,AM9),[4]Parámetros!$A$56:$B$80,2,FALSE)</f>
        <v>Alto (4)</v>
      </c>
      <c r="AO9" s="97" t="s">
        <v>617</v>
      </c>
      <c r="AP9" s="197" t="s">
        <v>267</v>
      </c>
      <c r="AQ9" s="97" t="s">
        <v>268</v>
      </c>
      <c r="AR9" s="97" t="s">
        <v>269</v>
      </c>
      <c r="AS9" s="204" t="s">
        <v>270</v>
      </c>
      <c r="AT9" s="236" t="s">
        <v>271</v>
      </c>
      <c r="AU9" s="133" t="s">
        <v>628</v>
      </c>
      <c r="AV9" s="133" t="s">
        <v>629</v>
      </c>
      <c r="AW9" s="253" t="s">
        <v>584</v>
      </c>
    </row>
    <row r="10" spans="1:60" ht="97.5" customHeight="1" x14ac:dyDescent="0.4">
      <c r="A10" s="209"/>
      <c r="B10" s="246"/>
      <c r="C10" s="246"/>
      <c r="D10" s="247"/>
      <c r="E10" s="245"/>
      <c r="F10" s="97" t="s">
        <v>272</v>
      </c>
      <c r="G10" s="245"/>
      <c r="H10" s="245"/>
      <c r="I10" s="205"/>
      <c r="J10" s="208"/>
      <c r="K10" s="207"/>
      <c r="L10" s="208"/>
      <c r="M10" s="81" t="s">
        <v>7</v>
      </c>
      <c r="N10" s="204"/>
      <c r="O10" s="96" t="s">
        <v>273</v>
      </c>
      <c r="P10" s="96" t="s">
        <v>274</v>
      </c>
      <c r="Q10" s="96" t="s">
        <v>275</v>
      </c>
      <c r="R10" s="168" t="s">
        <v>276</v>
      </c>
      <c r="S10" s="96" t="s">
        <v>277</v>
      </c>
      <c r="T10" s="96" t="s">
        <v>278</v>
      </c>
      <c r="U10" s="95">
        <v>15</v>
      </c>
      <c r="V10" s="95">
        <v>15</v>
      </c>
      <c r="W10" s="95">
        <v>15</v>
      </c>
      <c r="X10" s="95">
        <v>15</v>
      </c>
      <c r="Y10" s="95">
        <v>15</v>
      </c>
      <c r="Z10" s="95">
        <v>15</v>
      </c>
      <c r="AA10" s="95">
        <v>10</v>
      </c>
      <c r="AB10" s="75">
        <f t="shared" si="2"/>
        <v>100</v>
      </c>
      <c r="AC10" s="75" t="str">
        <f t="shared" ref="AC10" si="5">_xlfn.IFS(AB10&lt;=85,"Débil",AB10&gt;=96,"Fuerte",AB10&gt;=86,"Moderado")</f>
        <v>Fuerte</v>
      </c>
      <c r="AD10" s="75" t="s">
        <v>178</v>
      </c>
      <c r="AE10" s="75" t="str">
        <f>VLOOKUP(CONCATENATE(AC10,AD10),[4]Parámetros!$A$2:$B$10,2,FALSE)</f>
        <v>Fuerte</v>
      </c>
      <c r="AF10" s="75">
        <f t="shared" ref="AF10" si="6">_xlfn.IFS(AE10="Fuerte",100,AE10="Moderado",50,AE10="Débil",0)</f>
        <v>100</v>
      </c>
      <c r="AG10" s="210"/>
      <c r="AH10" s="75" t="s">
        <v>180</v>
      </c>
      <c r="AI10" s="75" t="s">
        <v>181</v>
      </c>
      <c r="AJ10" s="75">
        <f>VLOOKUP(CONCATENATE(AG9,AH10,AI10),[4]Parámetros!$A$13:$B$24,2,FALSE)</f>
        <v>2</v>
      </c>
      <c r="AK10" s="75">
        <f>VLOOKUP(CONCATENATE(AG9,AH10,AI10),[4]Parámetros!$A$27:$B$38,2,FALSE)</f>
        <v>0</v>
      </c>
      <c r="AL10" s="241"/>
      <c r="AM10" s="241"/>
      <c r="AN10" s="213"/>
      <c r="AO10" s="97" t="s">
        <v>279</v>
      </c>
      <c r="AP10" s="197"/>
      <c r="AQ10" s="97" t="s">
        <v>280</v>
      </c>
      <c r="AR10" s="97" t="s">
        <v>281</v>
      </c>
      <c r="AS10" s="204"/>
      <c r="AT10" s="236"/>
      <c r="AU10" s="133" t="s">
        <v>630</v>
      </c>
      <c r="AV10" s="133" t="s">
        <v>631</v>
      </c>
      <c r="AW10" s="253"/>
    </row>
    <row r="11" spans="1:60" ht="97.5" customHeight="1" x14ac:dyDescent="0.4">
      <c r="A11" s="209"/>
      <c r="B11" s="210" t="s">
        <v>282</v>
      </c>
      <c r="C11" s="210" t="s">
        <v>206</v>
      </c>
      <c r="D11" s="211" t="s">
        <v>207</v>
      </c>
      <c r="E11" s="204" t="s">
        <v>168</v>
      </c>
      <c r="F11" s="96" t="s">
        <v>283</v>
      </c>
      <c r="G11" s="204" t="s">
        <v>284</v>
      </c>
      <c r="H11" s="210" t="s">
        <v>285</v>
      </c>
      <c r="I11" s="205" t="s">
        <v>172</v>
      </c>
      <c r="J11" s="231" t="e">
        <f>IF(K11&lt;6,"Moderado (3)",IF(K11&lt;12,"Mayor (4)","Catastrófico (5)"))</f>
        <v>#VALUE!</v>
      </c>
      <c r="K11" s="207" t="e">
        <f>COUNTIF('[4]Criterios impacto 2'!H9:H27,"SI")</f>
        <v>#VALUE!</v>
      </c>
      <c r="L11" s="208" t="e">
        <f>VLOOKUP(CONCATENATE(I11,J11),[5]Parámetros!$A$56:$B$80,2,FALSE)</f>
        <v>#VALUE!</v>
      </c>
      <c r="M11" s="74" t="s">
        <v>7</v>
      </c>
      <c r="N11" s="210" t="s">
        <v>259</v>
      </c>
      <c r="O11" s="96" t="s">
        <v>286</v>
      </c>
      <c r="P11" s="96" t="s">
        <v>287</v>
      </c>
      <c r="Q11" s="96" t="s">
        <v>288</v>
      </c>
      <c r="R11" s="168" t="s">
        <v>289</v>
      </c>
      <c r="S11" s="96" t="s">
        <v>290</v>
      </c>
      <c r="T11" s="96" t="s">
        <v>291</v>
      </c>
      <c r="U11" s="75">
        <v>15</v>
      </c>
      <c r="V11" s="75">
        <v>15</v>
      </c>
      <c r="W11" s="75">
        <v>15</v>
      </c>
      <c r="X11" s="75">
        <v>15</v>
      </c>
      <c r="Y11" s="75">
        <v>15</v>
      </c>
      <c r="Z11" s="75">
        <v>15</v>
      </c>
      <c r="AA11" s="75">
        <v>10</v>
      </c>
      <c r="AB11" s="75">
        <f t="shared" si="2"/>
        <v>100</v>
      </c>
      <c r="AC11" s="75" t="s">
        <v>178</v>
      </c>
      <c r="AD11" s="75" t="s">
        <v>178</v>
      </c>
      <c r="AE11" s="75" t="str">
        <f>VLOOKUP(CONCATENATE(AC11,AD11),[5]Parámetros!$A$2:$B$10,2,FALSE)</f>
        <v>Fuerte</v>
      </c>
      <c r="AF11" s="75">
        <v>100</v>
      </c>
      <c r="AG11" s="210" t="s">
        <v>178</v>
      </c>
      <c r="AH11" s="75" t="s">
        <v>180</v>
      </c>
      <c r="AI11" s="75" t="s">
        <v>181</v>
      </c>
      <c r="AJ11" s="75">
        <f>VLOOKUP(CONCATENATE(AG11,AH11,AI11),[5]Parámetros!$A$13:$B$24,2,FALSE)</f>
        <v>2</v>
      </c>
      <c r="AK11" s="75">
        <f>VLOOKUP(CONCATENATE(AG11,AH11,AI11),[5]Parámetros!$A$27:$B$38,2,FALSE)</f>
        <v>0</v>
      </c>
      <c r="AL11" s="241" t="s">
        <v>172</v>
      </c>
      <c r="AM11" s="241" t="s">
        <v>266</v>
      </c>
      <c r="AN11" s="213" t="str">
        <f>VLOOKUP(CONCATENATE(AL11,AM11),[4]Parámetros!$A$56:$B$80,2,FALSE)</f>
        <v>Alto (4)</v>
      </c>
      <c r="AO11" s="243" t="s">
        <v>292</v>
      </c>
      <c r="AP11" s="204" t="s">
        <v>293</v>
      </c>
      <c r="AQ11" s="244" t="s">
        <v>294</v>
      </c>
      <c r="AR11" s="204" t="s">
        <v>295</v>
      </c>
      <c r="AS11" s="204" t="s">
        <v>270</v>
      </c>
      <c r="AT11" s="236" t="s">
        <v>271</v>
      </c>
      <c r="AU11" s="133" t="s">
        <v>632</v>
      </c>
      <c r="AV11" s="133" t="s">
        <v>633</v>
      </c>
      <c r="AW11" s="253"/>
    </row>
    <row r="12" spans="1:60" ht="97.5" customHeight="1" x14ac:dyDescent="0.4">
      <c r="A12" s="209"/>
      <c r="B12" s="210"/>
      <c r="C12" s="210"/>
      <c r="D12" s="211"/>
      <c r="E12" s="204"/>
      <c r="F12" s="96" t="s">
        <v>296</v>
      </c>
      <c r="G12" s="204"/>
      <c r="H12" s="210"/>
      <c r="I12" s="205"/>
      <c r="J12" s="231"/>
      <c r="K12" s="207"/>
      <c r="L12" s="208"/>
      <c r="M12" s="74" t="s">
        <v>7</v>
      </c>
      <c r="N12" s="210"/>
      <c r="O12" s="96" t="s">
        <v>297</v>
      </c>
      <c r="P12" s="96" t="s">
        <v>298</v>
      </c>
      <c r="Q12" s="75" t="s">
        <v>299</v>
      </c>
      <c r="R12" s="168" t="s">
        <v>300</v>
      </c>
      <c r="S12" s="96" t="s">
        <v>301</v>
      </c>
      <c r="T12" s="96" t="s">
        <v>302</v>
      </c>
      <c r="U12" s="75">
        <v>15</v>
      </c>
      <c r="V12" s="75">
        <v>15</v>
      </c>
      <c r="W12" s="75">
        <v>15</v>
      </c>
      <c r="X12" s="75">
        <v>15</v>
      </c>
      <c r="Y12" s="75">
        <v>15</v>
      </c>
      <c r="Z12" s="75">
        <v>15</v>
      </c>
      <c r="AA12" s="75">
        <v>10</v>
      </c>
      <c r="AB12" s="75">
        <f t="shared" si="2"/>
        <v>100</v>
      </c>
      <c r="AC12" s="75" t="s">
        <v>178</v>
      </c>
      <c r="AD12" s="75" t="s">
        <v>178</v>
      </c>
      <c r="AE12" s="75" t="str">
        <f>VLOOKUP(CONCATENATE(AC12,AD12),[5]Parámetros!$A$2:$B$10,2,FALSE)</f>
        <v>Fuerte</v>
      </c>
      <c r="AF12" s="75">
        <v>100</v>
      </c>
      <c r="AG12" s="210"/>
      <c r="AH12" s="75" t="s">
        <v>180</v>
      </c>
      <c r="AI12" s="75" t="s">
        <v>181</v>
      </c>
      <c r="AJ12" s="75">
        <f>VLOOKUP(CONCATENATE(AG11,AH12,AI12),[5]Parámetros!$A$13:$B$24,2,FALSE)</f>
        <v>2</v>
      </c>
      <c r="AK12" s="75">
        <f>VLOOKUP(CONCATENATE(AG11,AH12,AI12),[5]Parámetros!$A$27:$B$38,2,FALSE)</f>
        <v>0</v>
      </c>
      <c r="AL12" s="241"/>
      <c r="AM12" s="241"/>
      <c r="AN12" s="213"/>
      <c r="AO12" s="243"/>
      <c r="AP12" s="204"/>
      <c r="AQ12" s="204"/>
      <c r="AR12" s="204"/>
      <c r="AS12" s="204"/>
      <c r="AT12" s="236"/>
      <c r="AU12" s="133" t="s">
        <v>634</v>
      </c>
      <c r="AV12" s="133" t="s">
        <v>635</v>
      </c>
      <c r="AW12" s="253"/>
    </row>
    <row r="13" spans="1:60" ht="97.5" customHeight="1" x14ac:dyDescent="0.4">
      <c r="A13" s="209"/>
      <c r="B13" s="210" t="s">
        <v>255</v>
      </c>
      <c r="C13" s="210" t="s">
        <v>206</v>
      </c>
      <c r="D13" s="211" t="s">
        <v>207</v>
      </c>
      <c r="E13" s="204" t="s">
        <v>168</v>
      </c>
      <c r="F13" s="204" t="s">
        <v>303</v>
      </c>
      <c r="G13" s="210" t="s">
        <v>304</v>
      </c>
      <c r="H13" s="204" t="s">
        <v>305</v>
      </c>
      <c r="I13" s="205" t="s">
        <v>172</v>
      </c>
      <c r="J13" s="231" t="e">
        <f>IF(K13&lt;6,"Moderado (3)",IF(K13&lt;12,"Mayor (4)","Catastrófico (5)"))</f>
        <v>#VALUE!</v>
      </c>
      <c r="K13" s="207" t="e">
        <f>COUNTIF('[4]Criterios impacto 3'!H9:H27,"SI")</f>
        <v>#VALUE!</v>
      </c>
      <c r="L13" s="208" t="e">
        <f>VLOOKUP(CONCATENATE(I13,J13),[5]Parámetros!$A$56:$B$80,2,FALSE)</f>
        <v>#VALUE!</v>
      </c>
      <c r="M13" s="81" t="s">
        <v>7</v>
      </c>
      <c r="N13" s="204" t="s">
        <v>259</v>
      </c>
      <c r="O13" s="96" t="s">
        <v>306</v>
      </c>
      <c r="P13" s="96" t="s">
        <v>307</v>
      </c>
      <c r="Q13" s="96" t="s">
        <v>308</v>
      </c>
      <c r="R13" s="168" t="s">
        <v>309</v>
      </c>
      <c r="S13" s="75" t="s">
        <v>310</v>
      </c>
      <c r="T13" s="96" t="s">
        <v>311</v>
      </c>
      <c r="U13" s="95">
        <v>15</v>
      </c>
      <c r="V13" s="95">
        <v>15</v>
      </c>
      <c r="W13" s="95">
        <v>15</v>
      </c>
      <c r="X13" s="95">
        <v>15</v>
      </c>
      <c r="Y13" s="95">
        <v>15</v>
      </c>
      <c r="Z13" s="95">
        <v>15</v>
      </c>
      <c r="AA13" s="95">
        <v>10</v>
      </c>
      <c r="AB13" s="75">
        <f t="shared" si="2"/>
        <v>100</v>
      </c>
      <c r="AC13" s="75" t="s">
        <v>178</v>
      </c>
      <c r="AD13" s="75" t="s">
        <v>178</v>
      </c>
      <c r="AE13" s="75" t="str">
        <f>VLOOKUP(CONCATENATE(AC13,AD13),[5]Parámetros!$A$2:$B$10,2,FALSE)</f>
        <v>Fuerte</v>
      </c>
      <c r="AF13" s="75">
        <v>100</v>
      </c>
      <c r="AG13" s="210" t="s">
        <v>312</v>
      </c>
      <c r="AH13" s="75" t="s">
        <v>180</v>
      </c>
      <c r="AI13" s="75" t="s">
        <v>181</v>
      </c>
      <c r="AJ13" s="75">
        <v>2</v>
      </c>
      <c r="AK13" s="75">
        <v>0</v>
      </c>
      <c r="AL13" s="241" t="s">
        <v>172</v>
      </c>
      <c r="AM13" s="241" t="s">
        <v>266</v>
      </c>
      <c r="AN13" s="213" t="str">
        <f>VLOOKUP(CONCATENATE(AL13,AM13),[4]Parámetros!$A$56:$B$80,2,FALSE)</f>
        <v>Alto (4)</v>
      </c>
      <c r="AO13" s="242" t="s">
        <v>313</v>
      </c>
      <c r="AP13" s="204" t="s">
        <v>293</v>
      </c>
      <c r="AQ13" s="235" t="s">
        <v>314</v>
      </c>
      <c r="AR13" s="204" t="s">
        <v>315</v>
      </c>
      <c r="AS13" s="204" t="s">
        <v>270</v>
      </c>
      <c r="AT13" s="236" t="s">
        <v>271</v>
      </c>
      <c r="AU13" s="133" t="s">
        <v>636</v>
      </c>
      <c r="AV13" s="133" t="s">
        <v>637</v>
      </c>
      <c r="AW13" s="253"/>
    </row>
    <row r="14" spans="1:60" ht="141" customHeight="1" x14ac:dyDescent="0.4">
      <c r="A14" s="209"/>
      <c r="B14" s="210"/>
      <c r="C14" s="210"/>
      <c r="D14" s="211"/>
      <c r="E14" s="204"/>
      <c r="F14" s="204"/>
      <c r="G14" s="210"/>
      <c r="H14" s="204"/>
      <c r="I14" s="205"/>
      <c r="J14" s="231"/>
      <c r="K14" s="207"/>
      <c r="L14" s="208"/>
      <c r="M14" s="81" t="s">
        <v>7</v>
      </c>
      <c r="N14" s="204"/>
      <c r="O14" s="96" t="s">
        <v>316</v>
      </c>
      <c r="P14" s="96" t="s">
        <v>317</v>
      </c>
      <c r="Q14" s="96" t="s">
        <v>318</v>
      </c>
      <c r="R14" s="168" t="s">
        <v>319</v>
      </c>
      <c r="S14" s="96" t="s">
        <v>320</v>
      </c>
      <c r="T14" s="96" t="s">
        <v>321</v>
      </c>
      <c r="U14" s="95">
        <v>15</v>
      </c>
      <c r="V14" s="95">
        <v>15</v>
      </c>
      <c r="W14" s="95">
        <v>15</v>
      </c>
      <c r="X14" s="95">
        <v>15</v>
      </c>
      <c r="Y14" s="95">
        <v>15</v>
      </c>
      <c r="Z14" s="95">
        <v>15</v>
      </c>
      <c r="AA14" s="95">
        <v>10</v>
      </c>
      <c r="AB14" s="75">
        <f t="shared" si="2"/>
        <v>100</v>
      </c>
      <c r="AC14" s="75" t="s">
        <v>312</v>
      </c>
      <c r="AD14" s="75" t="s">
        <v>178</v>
      </c>
      <c r="AE14" s="75" t="s">
        <v>178</v>
      </c>
      <c r="AF14" s="75">
        <v>100</v>
      </c>
      <c r="AG14" s="210"/>
      <c r="AH14" s="75" t="s">
        <v>180</v>
      </c>
      <c r="AI14" s="75" t="s">
        <v>181</v>
      </c>
      <c r="AJ14" s="75">
        <v>2</v>
      </c>
      <c r="AK14" s="75">
        <v>0</v>
      </c>
      <c r="AL14" s="241"/>
      <c r="AM14" s="241"/>
      <c r="AN14" s="213"/>
      <c r="AO14" s="242"/>
      <c r="AP14" s="204"/>
      <c r="AQ14" s="210"/>
      <c r="AR14" s="204"/>
      <c r="AS14" s="204"/>
      <c r="AT14" s="236"/>
      <c r="AU14" s="133" t="s">
        <v>638</v>
      </c>
      <c r="AV14" s="133" t="s">
        <v>639</v>
      </c>
      <c r="AW14" s="253"/>
    </row>
    <row r="15" spans="1:60" ht="114.75" customHeight="1" x14ac:dyDescent="0.4">
      <c r="A15" s="237" t="s">
        <v>322</v>
      </c>
      <c r="B15" s="238" t="s">
        <v>255</v>
      </c>
      <c r="C15" s="238" t="s">
        <v>206</v>
      </c>
      <c r="D15" s="239" t="s">
        <v>207</v>
      </c>
      <c r="E15" s="238" t="s">
        <v>168</v>
      </c>
      <c r="F15" s="85" t="s">
        <v>323</v>
      </c>
      <c r="G15" s="76" t="s">
        <v>324</v>
      </c>
      <c r="H15" s="86" t="s">
        <v>325</v>
      </c>
      <c r="I15" s="106" t="s">
        <v>326</v>
      </c>
      <c r="J15" s="74" t="e">
        <f>IF(K15&lt;6,"Moderado (3)",IF(K15&lt;12,"Mayor (4)","Catastrófico (5)"))</f>
        <v>#VALUE!</v>
      </c>
      <c r="K15" s="61" t="e">
        <f>COUNTIF('[6]Criterios impacto 1'!H16:H34,"SI")</f>
        <v>#VALUE!</v>
      </c>
      <c r="L15" s="107" t="e">
        <f>VLOOKUP(CONCATENATE(I15,J15),[6]Parámetros!$A$56:$B$80,2,FALSE)</f>
        <v>#VALUE!</v>
      </c>
      <c r="M15" s="108" t="s">
        <v>7</v>
      </c>
      <c r="N15" s="86" t="s">
        <v>327</v>
      </c>
      <c r="O15" s="58" t="s">
        <v>328</v>
      </c>
      <c r="P15" s="86" t="s">
        <v>329</v>
      </c>
      <c r="Q15" s="85" t="s">
        <v>330</v>
      </c>
      <c r="R15" s="167" t="s">
        <v>331</v>
      </c>
      <c r="S15" s="79" t="s">
        <v>332</v>
      </c>
      <c r="T15" s="85" t="s">
        <v>333</v>
      </c>
      <c r="U15" s="86">
        <v>15</v>
      </c>
      <c r="V15" s="86">
        <v>15</v>
      </c>
      <c r="W15" s="86">
        <v>15</v>
      </c>
      <c r="X15" s="58">
        <v>15</v>
      </c>
      <c r="Y15" s="86">
        <v>15</v>
      </c>
      <c r="Z15" s="86">
        <v>15</v>
      </c>
      <c r="AA15" s="86">
        <v>10</v>
      </c>
      <c r="AB15" s="86">
        <f>SUM(U15:AA15)</f>
        <v>100</v>
      </c>
      <c r="AC15" s="76" t="s">
        <v>178</v>
      </c>
      <c r="AD15" s="86" t="s">
        <v>178</v>
      </c>
      <c r="AE15" s="86" t="str">
        <f>VLOOKUP(CONCATENATE(AC15,AD15),[6]Parámetros!$A$2:$B$10,2,FALSE)</f>
        <v>Fuerte</v>
      </c>
      <c r="AF15" s="76">
        <v>100</v>
      </c>
      <c r="AG15" s="76" t="s">
        <v>178</v>
      </c>
      <c r="AH15" s="109" t="s">
        <v>180</v>
      </c>
      <c r="AI15" s="86" t="s">
        <v>334</v>
      </c>
      <c r="AJ15" s="86">
        <f>VLOOKUP(CONCATENATE(AG15,AH15,AI15),[6]Parámetros!$A$13:$B$24,2,FALSE)</f>
        <v>2</v>
      </c>
      <c r="AK15" s="86">
        <v>0</v>
      </c>
      <c r="AL15" s="109" t="s">
        <v>212</v>
      </c>
      <c r="AM15" s="109" t="s">
        <v>182</v>
      </c>
      <c r="AN15" s="110" t="str">
        <f>VLOOKUP(CONCATENATE(AL15,AM15),[6]Parámetros!$A$56:$B$80,2,FALSE)</f>
        <v>Moderado (6)</v>
      </c>
      <c r="AO15" s="111" t="s">
        <v>335</v>
      </c>
      <c r="AP15" s="58" t="s">
        <v>336</v>
      </c>
      <c r="AQ15" s="112">
        <v>44910</v>
      </c>
      <c r="AR15" s="113" t="s">
        <v>337</v>
      </c>
      <c r="AS15" s="240" t="s">
        <v>338</v>
      </c>
      <c r="AT15" s="114" t="s">
        <v>339</v>
      </c>
      <c r="AU15" s="104" t="s">
        <v>640</v>
      </c>
      <c r="AV15" s="104" t="s">
        <v>641</v>
      </c>
      <c r="AW15" s="253" t="s">
        <v>583</v>
      </c>
    </row>
    <row r="16" spans="1:60" ht="171" customHeight="1" x14ac:dyDescent="0.4">
      <c r="A16" s="237"/>
      <c r="B16" s="238"/>
      <c r="C16" s="238"/>
      <c r="D16" s="239"/>
      <c r="E16" s="238"/>
      <c r="F16" s="76" t="s">
        <v>340</v>
      </c>
      <c r="G16" s="76" t="s">
        <v>341</v>
      </c>
      <c r="H16" s="115" t="s">
        <v>342</v>
      </c>
      <c r="I16" s="116" t="s">
        <v>343</v>
      </c>
      <c r="J16" s="74" t="e">
        <f>IF(K16&lt;6,"Moderado (3)",IF(K16&lt;12,"Mayor (4)","Catastrófico (5)"))</f>
        <v>#VALUE!</v>
      </c>
      <c r="K16" s="61" t="e">
        <f>COUNTIF('[6]Criterios impacto 2'!H16:H34,"SI")</f>
        <v>#VALUE!</v>
      </c>
      <c r="L16" s="117" t="s">
        <v>344</v>
      </c>
      <c r="M16" s="116" t="s">
        <v>188</v>
      </c>
      <c r="N16" s="86" t="s">
        <v>345</v>
      </c>
      <c r="O16" s="115" t="s">
        <v>346</v>
      </c>
      <c r="P16" s="86" t="s">
        <v>329</v>
      </c>
      <c r="Q16" s="113" t="s">
        <v>347</v>
      </c>
      <c r="R16" s="169" t="s">
        <v>348</v>
      </c>
      <c r="S16" s="115" t="s">
        <v>349</v>
      </c>
      <c r="T16" s="118" t="s">
        <v>350</v>
      </c>
      <c r="U16" s="119">
        <v>15</v>
      </c>
      <c r="V16" s="119">
        <v>15</v>
      </c>
      <c r="W16" s="119">
        <v>15</v>
      </c>
      <c r="X16" s="119">
        <v>15</v>
      </c>
      <c r="Y16" s="119">
        <v>15</v>
      </c>
      <c r="Z16" s="119">
        <v>15</v>
      </c>
      <c r="AA16" s="119">
        <v>5</v>
      </c>
      <c r="AB16" s="119">
        <v>95</v>
      </c>
      <c r="AC16" s="119" t="s">
        <v>351</v>
      </c>
      <c r="AD16" s="119" t="s">
        <v>351</v>
      </c>
      <c r="AE16" s="119" t="s">
        <v>351</v>
      </c>
      <c r="AF16" s="119">
        <v>50</v>
      </c>
      <c r="AG16" s="119" t="s">
        <v>351</v>
      </c>
      <c r="AH16" s="119" t="s">
        <v>352</v>
      </c>
      <c r="AI16" s="119" t="s">
        <v>353</v>
      </c>
      <c r="AJ16" s="119">
        <v>1</v>
      </c>
      <c r="AK16" s="119">
        <v>0</v>
      </c>
      <c r="AL16" s="109" t="s">
        <v>172</v>
      </c>
      <c r="AM16" s="109" t="s">
        <v>182</v>
      </c>
      <c r="AN16" s="110" t="str">
        <f>VLOOKUP(CONCATENATE(AL16,AM16),[6]Parámetros!$A$56:$B$80,2,FALSE)</f>
        <v>Moderado (3)</v>
      </c>
      <c r="AO16" s="76" t="s">
        <v>354</v>
      </c>
      <c r="AP16" s="115" t="s">
        <v>355</v>
      </c>
      <c r="AQ16" s="112">
        <v>44910</v>
      </c>
      <c r="AR16" s="115" t="s">
        <v>356</v>
      </c>
      <c r="AS16" s="240"/>
      <c r="AT16" s="120" t="s">
        <v>357</v>
      </c>
      <c r="AU16" s="104" t="s">
        <v>642</v>
      </c>
      <c r="AV16" s="104" t="s">
        <v>643</v>
      </c>
      <c r="AW16" s="253"/>
    </row>
    <row r="17" spans="1:49" ht="60.75" customHeight="1" x14ac:dyDescent="0.4">
      <c r="A17" s="237"/>
      <c r="B17" s="116"/>
      <c r="C17" s="116"/>
      <c r="D17" s="116"/>
      <c r="E17" s="116"/>
      <c r="F17" s="116"/>
      <c r="G17" s="116"/>
      <c r="H17" s="116"/>
      <c r="I17" s="116"/>
      <c r="J17" s="121"/>
      <c r="K17" s="116"/>
      <c r="L17" s="116"/>
      <c r="M17" s="116"/>
      <c r="N17" s="116"/>
      <c r="O17" s="116"/>
      <c r="P17" s="116"/>
      <c r="Q17" s="116"/>
      <c r="R17" s="170"/>
      <c r="S17" s="116"/>
      <c r="T17" s="116"/>
      <c r="U17" s="119"/>
      <c r="V17" s="119"/>
      <c r="W17" s="119"/>
      <c r="X17" s="119"/>
      <c r="Y17" s="119"/>
      <c r="Z17" s="119"/>
      <c r="AA17" s="119"/>
      <c r="AB17" s="119"/>
      <c r="AC17" s="119"/>
      <c r="AD17" s="119"/>
      <c r="AE17" s="119"/>
      <c r="AF17" s="119"/>
      <c r="AG17" s="119"/>
      <c r="AH17" s="119"/>
      <c r="AI17" s="116"/>
      <c r="AJ17" s="116"/>
      <c r="AK17" s="116"/>
      <c r="AL17" s="116"/>
      <c r="AM17" s="116"/>
      <c r="AN17" s="116"/>
      <c r="AO17" s="119"/>
      <c r="AP17" s="116"/>
      <c r="AQ17" s="116"/>
      <c r="AR17" s="116"/>
      <c r="AS17" s="116"/>
      <c r="AT17" s="160"/>
      <c r="AU17" s="122"/>
      <c r="AV17" s="122"/>
      <c r="AW17" s="253"/>
    </row>
    <row r="18" spans="1:49" ht="167.25" customHeight="1" x14ac:dyDescent="0.4">
      <c r="A18" s="237"/>
      <c r="B18" s="115" t="s">
        <v>255</v>
      </c>
      <c r="C18" s="115" t="s">
        <v>206</v>
      </c>
      <c r="D18" s="119" t="s">
        <v>358</v>
      </c>
      <c r="E18" s="115" t="s">
        <v>168</v>
      </c>
      <c r="F18" s="85" t="s">
        <v>359</v>
      </c>
      <c r="G18" s="76" t="s">
        <v>360</v>
      </c>
      <c r="H18" s="118" t="s">
        <v>325</v>
      </c>
      <c r="I18" s="91" t="s">
        <v>212</v>
      </c>
      <c r="J18" s="74" t="e">
        <f t="shared" ref="J18:J29" si="7">IF(K18&lt;6,"Moderado (3)",IF(K18&lt;12,"Mayor (4)","Catastrófico (5)"))</f>
        <v>#VALUE!</v>
      </c>
      <c r="K18" s="62" t="e">
        <f>COUNTIF('[6]Criterios impacto 3'!H16:H34,"SI")</f>
        <v>#VALUE!</v>
      </c>
      <c r="L18" s="123" t="e">
        <f>VLOOKUP(CONCATENATE(I18,J18),[7]Parámetros!$A$56:$B$80,2,FALSE)</f>
        <v>#VALUE!</v>
      </c>
      <c r="M18" s="91" t="s">
        <v>7</v>
      </c>
      <c r="N18" s="118" t="s">
        <v>361</v>
      </c>
      <c r="O18" s="76" t="s">
        <v>362</v>
      </c>
      <c r="P18" s="76" t="s">
        <v>363</v>
      </c>
      <c r="Q18" s="76" t="s">
        <v>364</v>
      </c>
      <c r="R18" s="165" t="s">
        <v>365</v>
      </c>
      <c r="S18" s="76" t="s">
        <v>366</v>
      </c>
      <c r="T18" s="76" t="s">
        <v>367</v>
      </c>
      <c r="U18" s="124">
        <v>15</v>
      </c>
      <c r="V18" s="124">
        <v>15</v>
      </c>
      <c r="W18" s="124">
        <v>15</v>
      </c>
      <c r="X18" s="59">
        <v>15</v>
      </c>
      <c r="Y18" s="124">
        <v>15</v>
      </c>
      <c r="Z18" s="124">
        <v>15</v>
      </c>
      <c r="AA18" s="124">
        <v>10</v>
      </c>
      <c r="AB18" s="124">
        <f>SUM(U18:AA18)</f>
        <v>100</v>
      </c>
      <c r="AC18" s="59" t="s">
        <v>178</v>
      </c>
      <c r="AD18" s="124" t="s">
        <v>178</v>
      </c>
      <c r="AE18" s="124" t="str">
        <f>VLOOKUP(CONCATENATE(AC18,AD18),[7]Parámetros!$A$2:$B$10,2,FALSE)</f>
        <v>Fuerte</v>
      </c>
      <c r="AF18" s="59">
        <v>100</v>
      </c>
      <c r="AG18" s="59" t="s">
        <v>178</v>
      </c>
      <c r="AH18" s="125" t="s">
        <v>180</v>
      </c>
      <c r="AI18" s="124" t="s">
        <v>181</v>
      </c>
      <c r="AJ18" s="124">
        <f>VLOOKUP(CONCATENATE(AG18,AH18,AI18),[7]Parámetros!$A$13:$B$24,2,FALSE)</f>
        <v>2</v>
      </c>
      <c r="AK18" s="124">
        <v>0</v>
      </c>
      <c r="AL18" s="109" t="s">
        <v>172</v>
      </c>
      <c r="AM18" s="109" t="s">
        <v>266</v>
      </c>
      <c r="AN18" s="110" t="str">
        <f>VLOOKUP(CONCATENATE(AL18,AM18),[7]Parámetros!$A$56:$B$80,2,FALSE)</f>
        <v>Alto (4)</v>
      </c>
      <c r="AO18" s="111" t="s">
        <v>368</v>
      </c>
      <c r="AP18" s="85" t="s">
        <v>369</v>
      </c>
      <c r="AQ18" s="126">
        <v>44910</v>
      </c>
      <c r="AR18" s="113" t="s">
        <v>370</v>
      </c>
      <c r="AS18" s="113" t="s">
        <v>338</v>
      </c>
      <c r="AT18" s="114" t="s">
        <v>371</v>
      </c>
      <c r="AU18" s="104" t="s">
        <v>644</v>
      </c>
      <c r="AV18" s="104" t="s">
        <v>645</v>
      </c>
      <c r="AW18" s="253"/>
    </row>
    <row r="19" spans="1:49" ht="114.75" customHeight="1" x14ac:dyDescent="0.4">
      <c r="A19" s="127" t="s">
        <v>372</v>
      </c>
      <c r="B19" s="128" t="s">
        <v>255</v>
      </c>
      <c r="C19" s="129" t="s">
        <v>206</v>
      </c>
      <c r="D19" s="130" t="s">
        <v>207</v>
      </c>
      <c r="E19" s="128" t="s">
        <v>168</v>
      </c>
      <c r="F19" s="97" t="s">
        <v>373</v>
      </c>
      <c r="G19" s="97" t="s">
        <v>374</v>
      </c>
      <c r="H19" s="97" t="s">
        <v>375</v>
      </c>
      <c r="I19" s="74" t="s">
        <v>212</v>
      </c>
      <c r="J19" s="74" t="e">
        <f t="shared" si="7"/>
        <v>#VALUE!</v>
      </c>
      <c r="K19" s="61" t="e">
        <f>COUNTIF('[8]Criterios impacto'!H19:H37,"SI")</f>
        <v>#VALUE!</v>
      </c>
      <c r="L19" s="131" t="e">
        <f>VLOOKUP(CONCATENATE(I19,J19),[8]Parámetros!A73:B97,2,0)</f>
        <v>#VALUE!</v>
      </c>
      <c r="M19" s="74" t="s">
        <v>8</v>
      </c>
      <c r="N19" s="128" t="s">
        <v>376</v>
      </c>
      <c r="O19" s="128" t="s">
        <v>377</v>
      </c>
      <c r="P19" s="128" t="s">
        <v>378</v>
      </c>
      <c r="Q19" s="97" t="s">
        <v>379</v>
      </c>
      <c r="R19" s="171" t="s">
        <v>380</v>
      </c>
      <c r="S19" s="97" t="s">
        <v>381</v>
      </c>
      <c r="T19" s="97" t="s">
        <v>382</v>
      </c>
      <c r="U19" s="129">
        <v>15</v>
      </c>
      <c r="V19" s="129">
        <v>15</v>
      </c>
      <c r="W19" s="129">
        <v>15</v>
      </c>
      <c r="X19" s="129">
        <v>10</v>
      </c>
      <c r="Y19" s="129">
        <v>15</v>
      </c>
      <c r="Z19" s="129">
        <v>15</v>
      </c>
      <c r="AA19" s="129">
        <v>10</v>
      </c>
      <c r="AB19" s="75">
        <f t="shared" ref="AB19:AB20" si="8">SUM(U19:AA19)</f>
        <v>95</v>
      </c>
      <c r="AC19" s="129" t="s">
        <v>56</v>
      </c>
      <c r="AD19" s="129" t="s">
        <v>178</v>
      </c>
      <c r="AE19" s="129" t="s">
        <v>56</v>
      </c>
      <c r="AF19" s="129">
        <v>50</v>
      </c>
      <c r="AG19" s="129" t="s">
        <v>56</v>
      </c>
      <c r="AH19" s="129" t="s">
        <v>180</v>
      </c>
      <c r="AI19" s="129" t="s">
        <v>383</v>
      </c>
      <c r="AJ19" s="129">
        <v>1</v>
      </c>
      <c r="AK19" s="129">
        <v>0</v>
      </c>
      <c r="AL19" s="130" t="s">
        <v>384</v>
      </c>
      <c r="AM19" s="130" t="s">
        <v>385</v>
      </c>
      <c r="AN19" s="132" t="s">
        <v>386</v>
      </c>
      <c r="AO19" s="85" t="s">
        <v>387</v>
      </c>
      <c r="AP19" s="85" t="s">
        <v>388</v>
      </c>
      <c r="AQ19" s="85" t="s">
        <v>389</v>
      </c>
      <c r="AR19" s="85" t="s">
        <v>390</v>
      </c>
      <c r="AS19" s="97" t="s">
        <v>391</v>
      </c>
      <c r="AT19" s="161" t="s">
        <v>618</v>
      </c>
      <c r="AU19" s="133" t="s">
        <v>589</v>
      </c>
      <c r="AV19" s="133" t="s">
        <v>590</v>
      </c>
      <c r="AW19" s="177" t="s">
        <v>588</v>
      </c>
    </row>
    <row r="20" spans="1:49" s="77" customFormat="1" ht="97.5" customHeight="1" x14ac:dyDescent="0.4">
      <c r="A20" s="225" t="s">
        <v>392</v>
      </c>
      <c r="B20" s="128" t="s">
        <v>205</v>
      </c>
      <c r="C20" s="128" t="s">
        <v>206</v>
      </c>
      <c r="D20" s="97" t="s">
        <v>207</v>
      </c>
      <c r="E20" s="97" t="s">
        <v>168</v>
      </c>
      <c r="F20" s="85" t="s">
        <v>393</v>
      </c>
      <c r="G20" s="97" t="s">
        <v>394</v>
      </c>
      <c r="H20" s="97" t="s">
        <v>395</v>
      </c>
      <c r="I20" s="81" t="s">
        <v>172</v>
      </c>
      <c r="J20" s="74" t="e">
        <f t="shared" si="7"/>
        <v>#VALUE!</v>
      </c>
      <c r="K20" s="63" t="e">
        <f>COUNTIF('[9]Criterios impacto 1'!H19:H37,"SI")</f>
        <v>#VALUE!</v>
      </c>
      <c r="L20" s="99" t="e">
        <f>VLOOKUP(CONCATENATE(I20,J20),[9]Parámetros!$A$56:$B$80,2,FALSE)</f>
        <v>#VALUE!</v>
      </c>
      <c r="M20" s="81" t="s">
        <v>7</v>
      </c>
      <c r="N20" s="96" t="s">
        <v>396</v>
      </c>
      <c r="O20" s="96" t="s">
        <v>396</v>
      </c>
      <c r="P20" s="134" t="s">
        <v>619</v>
      </c>
      <c r="Q20" s="135" t="s">
        <v>591</v>
      </c>
      <c r="R20" s="167" t="s">
        <v>592</v>
      </c>
      <c r="S20" s="85" t="s">
        <v>397</v>
      </c>
      <c r="T20" s="96" t="s">
        <v>398</v>
      </c>
      <c r="U20" s="97">
        <v>15</v>
      </c>
      <c r="V20" s="97">
        <v>15</v>
      </c>
      <c r="W20" s="97">
        <v>15</v>
      </c>
      <c r="X20" s="97">
        <v>15</v>
      </c>
      <c r="Y20" s="97">
        <v>15</v>
      </c>
      <c r="Z20" s="97">
        <v>15</v>
      </c>
      <c r="AA20" s="97">
        <v>10</v>
      </c>
      <c r="AB20" s="97">
        <f t="shared" si="8"/>
        <v>100</v>
      </c>
      <c r="AC20" s="97" t="str">
        <f t="shared" ref="AC20" si="9">_xlfn.IFS(AB20&lt;=85,"Débil",AB20&gt;=96,"Fuerte",AB20&gt;=86,"Moderado")</f>
        <v>Fuerte</v>
      </c>
      <c r="AD20" s="97" t="s">
        <v>178</v>
      </c>
      <c r="AE20" s="97" t="str">
        <f>VLOOKUP(CONCATENATE(AC20,AD20),[9]Parámetros!$A$2:$B$10,2,FALSE)</f>
        <v>Fuerte</v>
      </c>
      <c r="AF20" s="97">
        <f t="shared" ref="AF20" si="10">_xlfn.IFS(AE20="Fuerte",100,AE20="Moderado",50,AE20="Débil",0)</f>
        <v>100</v>
      </c>
      <c r="AG20" s="97" t="str">
        <f>_xlfn.IFS(AVERAGE(AF20:AF20)=100,"Fuerte",AVERAGE(AF20:AF20)&lt;50,"Débil",AVERAGE(AF20:AF20)&gt;=50,"Moderado")</f>
        <v>Fuerte</v>
      </c>
      <c r="AH20" s="97" t="s">
        <v>180</v>
      </c>
      <c r="AI20" s="97" t="s">
        <v>181</v>
      </c>
      <c r="AJ20" s="128">
        <f>VLOOKUP(CONCATENATE(AG20,AH20,AI20),[9]Parámetros!$A$13:$B$24,2,FALSE)</f>
        <v>2</v>
      </c>
      <c r="AK20" s="128">
        <f>VLOOKUP(CONCATENATE(AG20,AH20,AI20),[9]Parámetros!$A$27:$B$38,2,FALSE)</f>
        <v>0</v>
      </c>
      <c r="AL20" s="128" t="s">
        <v>172</v>
      </c>
      <c r="AM20" s="128" t="s">
        <v>266</v>
      </c>
      <c r="AN20" s="103" t="str">
        <f>VLOOKUP(CONCATENATE(AL20,AM20),[9]Parámetros!$A$56:$B$80,2,FALSE)</f>
        <v>Alto (4)</v>
      </c>
      <c r="AO20" s="136" t="s">
        <v>399</v>
      </c>
      <c r="AP20" s="96" t="s">
        <v>396</v>
      </c>
      <c r="AQ20" s="75" t="s">
        <v>400</v>
      </c>
      <c r="AR20" s="96" t="s">
        <v>401</v>
      </c>
      <c r="AS20" s="96" t="s">
        <v>402</v>
      </c>
      <c r="AT20" s="64" t="s">
        <v>403</v>
      </c>
      <c r="AU20" s="137" t="s">
        <v>594</v>
      </c>
      <c r="AV20" s="137" t="s">
        <v>620</v>
      </c>
      <c r="AW20" s="248" t="s">
        <v>593</v>
      </c>
    </row>
    <row r="21" spans="1:49" s="77" customFormat="1" ht="97.5" customHeight="1" x14ac:dyDescent="0.4">
      <c r="A21" s="225"/>
      <c r="B21" s="128" t="s">
        <v>205</v>
      </c>
      <c r="C21" s="128" t="s">
        <v>206</v>
      </c>
      <c r="D21" s="97" t="s">
        <v>207</v>
      </c>
      <c r="E21" s="97" t="s">
        <v>168</v>
      </c>
      <c r="F21" s="97" t="s">
        <v>404</v>
      </c>
      <c r="G21" s="97" t="s">
        <v>405</v>
      </c>
      <c r="H21" s="97" t="s">
        <v>406</v>
      </c>
      <c r="I21" s="81" t="s">
        <v>326</v>
      </c>
      <c r="J21" s="74" t="e">
        <f t="shared" si="7"/>
        <v>#VALUE!</v>
      </c>
      <c r="K21" s="63" t="e">
        <f>COUNTIF('[9]Criterios impacto 2'!H19:H37,"SI")</f>
        <v>#VALUE!</v>
      </c>
      <c r="L21" s="99" t="e">
        <f>VLOOKUP(CONCATENATE(I21,J21),[9]Parámetros!$A$56:$B$80,2,FALSE)</f>
        <v>#VALUE!</v>
      </c>
      <c r="M21" s="81" t="s">
        <v>7</v>
      </c>
      <c r="N21" s="96" t="s">
        <v>396</v>
      </c>
      <c r="O21" s="96" t="s">
        <v>407</v>
      </c>
      <c r="P21" s="97" t="s">
        <v>408</v>
      </c>
      <c r="Q21" s="97" t="s">
        <v>409</v>
      </c>
      <c r="R21" s="172" t="s">
        <v>410</v>
      </c>
      <c r="S21" s="97" t="s">
        <v>411</v>
      </c>
      <c r="T21" s="97" t="s">
        <v>412</v>
      </c>
      <c r="U21" s="130">
        <v>15</v>
      </c>
      <c r="V21" s="130">
        <v>15</v>
      </c>
      <c r="W21" s="130">
        <v>15</v>
      </c>
      <c r="X21" s="130">
        <v>15</v>
      </c>
      <c r="Y21" s="130">
        <v>15</v>
      </c>
      <c r="Z21" s="130">
        <v>15</v>
      </c>
      <c r="AA21" s="130">
        <v>10</v>
      </c>
      <c r="AB21" s="130">
        <f t="shared" ref="AB21:AB27" si="11">SUM(U21:AA21)</f>
        <v>100</v>
      </c>
      <c r="AC21" s="97" t="s">
        <v>178</v>
      </c>
      <c r="AD21" s="130" t="s">
        <v>178</v>
      </c>
      <c r="AE21" s="130" t="s">
        <v>178</v>
      </c>
      <c r="AF21" s="130">
        <v>100</v>
      </c>
      <c r="AG21" s="130" t="s">
        <v>178</v>
      </c>
      <c r="AH21" s="130" t="s">
        <v>180</v>
      </c>
      <c r="AI21" s="130" t="s">
        <v>181</v>
      </c>
      <c r="AJ21" s="130">
        <v>2</v>
      </c>
      <c r="AK21" s="130">
        <v>0</v>
      </c>
      <c r="AL21" s="128" t="s">
        <v>212</v>
      </c>
      <c r="AM21" s="128" t="s">
        <v>266</v>
      </c>
      <c r="AN21" s="103" t="str">
        <f>VLOOKUP(CONCATENATE(AL21,AM21),[9]Parámetros!$A$56:$B$80,2,FALSE)</f>
        <v>Alto (8)</v>
      </c>
      <c r="AO21" s="97" t="s">
        <v>413</v>
      </c>
      <c r="AP21" s="96" t="s">
        <v>396</v>
      </c>
      <c r="AQ21" s="75" t="s">
        <v>400</v>
      </c>
      <c r="AR21" s="97" t="s">
        <v>414</v>
      </c>
      <c r="AS21" s="97" t="s">
        <v>415</v>
      </c>
      <c r="AT21" s="64" t="s">
        <v>416</v>
      </c>
      <c r="AU21" s="137" t="s">
        <v>595</v>
      </c>
      <c r="AV21" s="137" t="s">
        <v>621</v>
      </c>
      <c r="AW21" s="248"/>
    </row>
    <row r="22" spans="1:49" s="77" customFormat="1" ht="193.5" customHeight="1" x14ac:dyDescent="0.4">
      <c r="A22" s="138" t="s">
        <v>417</v>
      </c>
      <c r="B22" s="139" t="s">
        <v>255</v>
      </c>
      <c r="C22" s="140" t="s">
        <v>206</v>
      </c>
      <c r="D22" s="141" t="s">
        <v>207</v>
      </c>
      <c r="E22" s="139" t="s">
        <v>168</v>
      </c>
      <c r="F22" s="140" t="s">
        <v>622</v>
      </c>
      <c r="G22" s="96" t="s">
        <v>596</v>
      </c>
      <c r="H22" s="140" t="s">
        <v>418</v>
      </c>
      <c r="I22" s="142" t="s">
        <v>172</v>
      </c>
      <c r="J22" s="74" t="e">
        <f t="shared" si="7"/>
        <v>#VALUE!</v>
      </c>
      <c r="K22" s="63" t="e">
        <f>COUNTIF('[10]Criterios impacto 1'!G23:G41,"SI")</f>
        <v>#VALUE!</v>
      </c>
      <c r="L22" s="143" t="e">
        <f>VLOOKUP(CONCATENATE(I22,J22),[10]Parámetros!$A$56:$B$80,2,0)</f>
        <v>#VALUE!</v>
      </c>
      <c r="M22" s="138" t="s">
        <v>7</v>
      </c>
      <c r="N22" s="140" t="s">
        <v>419</v>
      </c>
      <c r="O22" s="139" t="s">
        <v>420</v>
      </c>
      <c r="P22" s="144" t="s">
        <v>421</v>
      </c>
      <c r="Q22" s="144" t="s">
        <v>422</v>
      </c>
      <c r="R22" s="173" t="s">
        <v>423</v>
      </c>
      <c r="S22" s="145" t="s">
        <v>424</v>
      </c>
      <c r="T22" s="139" t="s">
        <v>425</v>
      </c>
      <c r="U22" s="141">
        <v>15</v>
      </c>
      <c r="V22" s="141">
        <v>15</v>
      </c>
      <c r="W22" s="141">
        <v>15</v>
      </c>
      <c r="X22" s="141">
        <v>15</v>
      </c>
      <c r="Y22" s="141">
        <v>15</v>
      </c>
      <c r="Z22" s="141">
        <v>15</v>
      </c>
      <c r="AA22" s="146">
        <v>10</v>
      </c>
      <c r="AB22" s="140">
        <f t="shared" si="11"/>
        <v>100</v>
      </c>
      <c r="AC22" s="140" t="s">
        <v>178</v>
      </c>
      <c r="AD22" s="140" t="s">
        <v>178</v>
      </c>
      <c r="AE22" s="140" t="s">
        <v>178</v>
      </c>
      <c r="AF22" s="140">
        <v>100</v>
      </c>
      <c r="AG22" s="140" t="s">
        <v>178</v>
      </c>
      <c r="AH22" s="140" t="s">
        <v>180</v>
      </c>
      <c r="AI22" s="140" t="s">
        <v>181</v>
      </c>
      <c r="AJ22" s="140">
        <f>VLOOKUP(CONCATENATE(AG22,AH22,AI22),[10]Parámetros!$A$13:$B$24,2,0)</f>
        <v>2</v>
      </c>
      <c r="AK22" s="140">
        <f>VLOOKUP(CONCATENATE(AG22,AH22,AI22),[10]Parámetros!$A$27:$B$38,2,0)</f>
        <v>0</v>
      </c>
      <c r="AL22" s="140" t="s">
        <v>172</v>
      </c>
      <c r="AM22" s="140" t="s">
        <v>182</v>
      </c>
      <c r="AN22" s="147" t="str">
        <f>VLOOKUP(CONCATENATE(AL22,AM22),[10]Parámetros!$A$56:$B$80,2,0)</f>
        <v>Moderado (3)</v>
      </c>
      <c r="AO22" s="148" t="s">
        <v>426</v>
      </c>
      <c r="AP22" s="139" t="s">
        <v>427</v>
      </c>
      <c r="AQ22" s="140" t="s">
        <v>221</v>
      </c>
      <c r="AR22" s="149" t="s">
        <v>428</v>
      </c>
      <c r="AS22" s="139" t="s">
        <v>429</v>
      </c>
      <c r="AT22" s="162" t="s">
        <v>430</v>
      </c>
      <c r="AU22" s="137" t="s">
        <v>598</v>
      </c>
      <c r="AV22" s="137" t="s">
        <v>599</v>
      </c>
      <c r="AW22" s="73" t="s">
        <v>597</v>
      </c>
    </row>
    <row r="23" spans="1:49" ht="192" customHeight="1" x14ac:dyDescent="0.4">
      <c r="A23" s="150" t="s">
        <v>431</v>
      </c>
      <c r="B23" s="140" t="s">
        <v>238</v>
      </c>
      <c r="C23" s="140" t="s">
        <v>206</v>
      </c>
      <c r="D23" s="141" t="s">
        <v>207</v>
      </c>
      <c r="E23" s="139" t="s">
        <v>168</v>
      </c>
      <c r="F23" s="151" t="s">
        <v>432</v>
      </c>
      <c r="G23" s="96" t="s">
        <v>433</v>
      </c>
      <c r="H23" s="96" t="s">
        <v>434</v>
      </c>
      <c r="I23" s="152" t="s">
        <v>172</v>
      </c>
      <c r="J23" s="74" t="e">
        <f t="shared" si="7"/>
        <v>#VALUE!</v>
      </c>
      <c r="K23" s="61" t="e">
        <f>COUNTIF('[11]Criterios impacto 1'!H22:H40,"SI")</f>
        <v>#VALUE!</v>
      </c>
      <c r="L23" s="143" t="s">
        <v>435</v>
      </c>
      <c r="M23" s="81" t="s">
        <v>7</v>
      </c>
      <c r="N23" s="96" t="s">
        <v>436</v>
      </c>
      <c r="O23" s="96" t="s">
        <v>437</v>
      </c>
      <c r="P23" s="96" t="s">
        <v>438</v>
      </c>
      <c r="Q23" s="96" t="s">
        <v>439</v>
      </c>
      <c r="R23" s="168" t="s">
        <v>440</v>
      </c>
      <c r="S23" s="96" t="s">
        <v>441</v>
      </c>
      <c r="T23" s="96" t="s">
        <v>442</v>
      </c>
      <c r="U23" s="140">
        <v>15</v>
      </c>
      <c r="V23" s="140">
        <v>15</v>
      </c>
      <c r="W23" s="140">
        <v>15</v>
      </c>
      <c r="X23" s="140">
        <v>15</v>
      </c>
      <c r="Y23" s="140">
        <v>15</v>
      </c>
      <c r="Z23" s="140">
        <v>15</v>
      </c>
      <c r="AA23" s="140">
        <v>10</v>
      </c>
      <c r="AB23" s="140">
        <f t="shared" si="11"/>
        <v>100</v>
      </c>
      <c r="AC23" s="140" t="s">
        <v>178</v>
      </c>
      <c r="AD23" s="140" t="s">
        <v>178</v>
      </c>
      <c r="AE23" s="140" t="str">
        <f>VLOOKUP(CONCATENATE(AC23,AD23),[11]Parámetros!$A$2:$B$10,2,0)</f>
        <v>Fuerte</v>
      </c>
      <c r="AF23" s="140">
        <v>100</v>
      </c>
      <c r="AG23" s="140" t="s">
        <v>56</v>
      </c>
      <c r="AH23" s="140" t="s">
        <v>180</v>
      </c>
      <c r="AI23" s="140" t="s">
        <v>181</v>
      </c>
      <c r="AJ23" s="140">
        <v>1</v>
      </c>
      <c r="AK23" s="140">
        <f>VLOOKUP(CONCATENATE(AG23,AH23,AI23),[11]Parámetros!$A$27:$B$38,2,0)</f>
        <v>0</v>
      </c>
      <c r="AL23" s="153" t="s">
        <v>172</v>
      </c>
      <c r="AM23" s="153" t="s">
        <v>435</v>
      </c>
      <c r="AN23" s="147" t="s">
        <v>443</v>
      </c>
      <c r="AO23" s="154" t="s">
        <v>444</v>
      </c>
      <c r="AP23" s="155" t="s">
        <v>445</v>
      </c>
      <c r="AQ23" s="140" t="s">
        <v>446</v>
      </c>
      <c r="AR23" s="156" t="s">
        <v>447</v>
      </c>
      <c r="AS23" s="139" t="s">
        <v>448</v>
      </c>
      <c r="AT23" s="64" t="s">
        <v>449</v>
      </c>
      <c r="AU23" s="133" t="s">
        <v>600</v>
      </c>
      <c r="AV23" s="133" t="s">
        <v>601</v>
      </c>
      <c r="AW23" s="73" t="s">
        <v>602</v>
      </c>
    </row>
    <row r="24" spans="1:49" ht="219.75" customHeight="1" x14ac:dyDescent="0.4">
      <c r="A24" s="232" t="s">
        <v>450</v>
      </c>
      <c r="B24" s="233" t="s">
        <v>255</v>
      </c>
      <c r="C24" s="233" t="s">
        <v>206</v>
      </c>
      <c r="D24" s="234" t="s">
        <v>207</v>
      </c>
      <c r="E24" s="220" t="s">
        <v>168</v>
      </c>
      <c r="F24" s="96" t="s">
        <v>451</v>
      </c>
      <c r="G24" s="204" t="s">
        <v>452</v>
      </c>
      <c r="H24" s="204" t="s">
        <v>453</v>
      </c>
      <c r="I24" s="192" t="s">
        <v>212</v>
      </c>
      <c r="J24" s="231" t="e">
        <f t="shared" si="7"/>
        <v>#VALUE!</v>
      </c>
      <c r="K24" s="207" t="e">
        <f>COUNTIF('[12]Criterios impacto'!H22:H40,"SI")</f>
        <v>#VALUE!</v>
      </c>
      <c r="L24" s="229" t="e">
        <f>VLOOKUP(CONCATENATE(I24,J24),[12]Parámetros!$A$56:$B$80,2,0)</f>
        <v>#VALUE!</v>
      </c>
      <c r="M24" s="81" t="s">
        <v>7</v>
      </c>
      <c r="N24" s="204" t="s">
        <v>259</v>
      </c>
      <c r="O24" s="96" t="s">
        <v>454</v>
      </c>
      <c r="P24" s="96" t="s">
        <v>455</v>
      </c>
      <c r="Q24" s="96" t="s">
        <v>456</v>
      </c>
      <c r="R24" s="168" t="s">
        <v>457</v>
      </c>
      <c r="S24" s="96" t="s">
        <v>458</v>
      </c>
      <c r="T24" s="96" t="s">
        <v>459</v>
      </c>
      <c r="U24" s="96">
        <v>15</v>
      </c>
      <c r="V24" s="96">
        <v>15</v>
      </c>
      <c r="W24" s="96">
        <v>15</v>
      </c>
      <c r="X24" s="96">
        <v>15</v>
      </c>
      <c r="Y24" s="96">
        <v>15</v>
      </c>
      <c r="Z24" s="96">
        <v>15</v>
      </c>
      <c r="AA24" s="96">
        <v>10</v>
      </c>
      <c r="AB24" s="96">
        <f t="shared" si="11"/>
        <v>100</v>
      </c>
      <c r="AC24" s="96" t="s">
        <v>460</v>
      </c>
      <c r="AD24" s="96" t="s">
        <v>178</v>
      </c>
      <c r="AE24" s="96" t="str">
        <f>VLOOKUP(CONCATENATE(AC24,AD24),[12]Parámetros!$A$2:$B$10,2,0)</f>
        <v>Fuerte</v>
      </c>
      <c r="AF24" s="96">
        <v>100</v>
      </c>
      <c r="AG24" s="204" t="s">
        <v>312</v>
      </c>
      <c r="AH24" s="96" t="s">
        <v>180</v>
      </c>
      <c r="AI24" s="144" t="s">
        <v>181</v>
      </c>
      <c r="AJ24" s="96">
        <v>2</v>
      </c>
      <c r="AK24" s="96">
        <v>0</v>
      </c>
      <c r="AL24" s="230" t="s">
        <v>172</v>
      </c>
      <c r="AM24" s="230" t="s">
        <v>182</v>
      </c>
      <c r="AN24" s="219" t="s">
        <v>607</v>
      </c>
      <c r="AO24" s="226" t="s">
        <v>461</v>
      </c>
      <c r="AP24" s="227" t="s">
        <v>462</v>
      </c>
      <c r="AQ24" s="223" t="s">
        <v>221</v>
      </c>
      <c r="AR24" s="228" t="s">
        <v>623</v>
      </c>
      <c r="AS24" s="228" t="s">
        <v>463</v>
      </c>
      <c r="AT24" s="224" t="s">
        <v>464</v>
      </c>
      <c r="AU24" s="182" t="s">
        <v>610</v>
      </c>
      <c r="AV24" s="182" t="s">
        <v>609</v>
      </c>
      <c r="AW24" s="248" t="s">
        <v>608</v>
      </c>
    </row>
    <row r="25" spans="1:49" ht="219.75" customHeight="1" x14ac:dyDescent="0.4">
      <c r="A25" s="232"/>
      <c r="B25" s="233"/>
      <c r="C25" s="233"/>
      <c r="D25" s="234"/>
      <c r="E25" s="220"/>
      <c r="F25" s="96" t="s">
        <v>465</v>
      </c>
      <c r="G25" s="204"/>
      <c r="H25" s="204"/>
      <c r="I25" s="192"/>
      <c r="J25" s="231" t="str">
        <f t="shared" si="7"/>
        <v>Moderado (3)</v>
      </c>
      <c r="K25" s="207"/>
      <c r="L25" s="229"/>
      <c r="M25" s="81" t="s">
        <v>7</v>
      </c>
      <c r="N25" s="204"/>
      <c r="O25" s="96" t="s">
        <v>466</v>
      </c>
      <c r="P25" s="96" t="s">
        <v>467</v>
      </c>
      <c r="Q25" s="96" t="s">
        <v>468</v>
      </c>
      <c r="R25" s="168" t="s">
        <v>469</v>
      </c>
      <c r="S25" s="96" t="s">
        <v>470</v>
      </c>
      <c r="T25" s="96" t="s">
        <v>459</v>
      </c>
      <c r="U25" s="96">
        <v>15</v>
      </c>
      <c r="V25" s="96">
        <v>15</v>
      </c>
      <c r="W25" s="96">
        <v>15</v>
      </c>
      <c r="X25" s="96">
        <v>15</v>
      </c>
      <c r="Y25" s="96">
        <v>15</v>
      </c>
      <c r="Z25" s="96">
        <v>15</v>
      </c>
      <c r="AA25" s="96">
        <v>10</v>
      </c>
      <c r="AB25" s="96">
        <f t="shared" si="11"/>
        <v>100</v>
      </c>
      <c r="AC25" s="96" t="s">
        <v>178</v>
      </c>
      <c r="AD25" s="96" t="s">
        <v>178</v>
      </c>
      <c r="AE25" s="96" t="str">
        <f>VLOOKUP(CONCATENATE(AC25,AD25),[12]Parámetros!$A$2:$B$10,2,0)</f>
        <v>Fuerte</v>
      </c>
      <c r="AF25" s="96">
        <v>100</v>
      </c>
      <c r="AG25" s="204"/>
      <c r="AH25" s="96" t="s">
        <v>180</v>
      </c>
      <c r="AI25" s="144" t="s">
        <v>181</v>
      </c>
      <c r="AJ25" s="96">
        <v>2</v>
      </c>
      <c r="AK25" s="96">
        <v>0</v>
      </c>
      <c r="AL25" s="230"/>
      <c r="AM25" s="230"/>
      <c r="AN25" s="219"/>
      <c r="AO25" s="226"/>
      <c r="AP25" s="227"/>
      <c r="AQ25" s="223"/>
      <c r="AR25" s="228"/>
      <c r="AS25" s="228"/>
      <c r="AT25" s="224"/>
      <c r="AU25" s="182"/>
      <c r="AV25" s="182"/>
      <c r="AW25" s="248"/>
    </row>
    <row r="26" spans="1:49" ht="219.75" customHeight="1" x14ac:dyDescent="0.4">
      <c r="A26" s="232"/>
      <c r="B26" s="233"/>
      <c r="C26" s="233"/>
      <c r="D26" s="234"/>
      <c r="E26" s="220"/>
      <c r="F26" s="96" t="s">
        <v>471</v>
      </c>
      <c r="G26" s="204"/>
      <c r="H26" s="204"/>
      <c r="I26" s="192"/>
      <c r="J26" s="231" t="str">
        <f t="shared" si="7"/>
        <v>Moderado (3)</v>
      </c>
      <c r="K26" s="207"/>
      <c r="L26" s="229"/>
      <c r="M26" s="81" t="s">
        <v>7</v>
      </c>
      <c r="N26" s="204"/>
      <c r="O26" s="144" t="s">
        <v>472</v>
      </c>
      <c r="P26" s="144" t="s">
        <v>473</v>
      </c>
      <c r="Q26" s="144" t="s">
        <v>474</v>
      </c>
      <c r="R26" s="173" t="s">
        <v>475</v>
      </c>
      <c r="S26" s="96" t="s">
        <v>476</v>
      </c>
      <c r="T26" s="144" t="s">
        <v>477</v>
      </c>
      <c r="U26" s="96">
        <v>15</v>
      </c>
      <c r="V26" s="96">
        <v>15</v>
      </c>
      <c r="W26" s="96">
        <v>15</v>
      </c>
      <c r="X26" s="96">
        <v>15</v>
      </c>
      <c r="Y26" s="96">
        <v>15</v>
      </c>
      <c r="Z26" s="96">
        <v>15</v>
      </c>
      <c r="AA26" s="96">
        <v>10</v>
      </c>
      <c r="AB26" s="96">
        <f t="shared" si="11"/>
        <v>100</v>
      </c>
      <c r="AC26" s="96" t="s">
        <v>178</v>
      </c>
      <c r="AD26" s="96" t="s">
        <v>178</v>
      </c>
      <c r="AE26" s="96" t="str">
        <f>VLOOKUP(CONCATENATE(AC26,AD26),[12]Parámetros!$A$2:$B$10,2,0)</f>
        <v>Fuerte</v>
      </c>
      <c r="AF26" s="96">
        <v>100</v>
      </c>
      <c r="AG26" s="204"/>
      <c r="AH26" s="144" t="s">
        <v>180</v>
      </c>
      <c r="AI26" s="144" t="s">
        <v>181</v>
      </c>
      <c r="AJ26" s="96">
        <v>2</v>
      </c>
      <c r="AK26" s="96">
        <v>0</v>
      </c>
      <c r="AL26" s="230"/>
      <c r="AM26" s="230"/>
      <c r="AN26" s="219"/>
      <c r="AO26" s="226"/>
      <c r="AP26" s="227"/>
      <c r="AQ26" s="223"/>
      <c r="AR26" s="228"/>
      <c r="AS26" s="228"/>
      <c r="AT26" s="224"/>
      <c r="AU26" s="182"/>
      <c r="AV26" s="182"/>
      <c r="AW26" s="248"/>
    </row>
    <row r="27" spans="1:49" ht="219.75" customHeight="1" x14ac:dyDescent="0.4">
      <c r="A27" s="232"/>
      <c r="B27" s="233"/>
      <c r="C27" s="233"/>
      <c r="D27" s="234"/>
      <c r="E27" s="220"/>
      <c r="F27" s="96" t="s">
        <v>478</v>
      </c>
      <c r="G27" s="204"/>
      <c r="H27" s="204"/>
      <c r="I27" s="192"/>
      <c r="J27" s="231" t="str">
        <f t="shared" si="7"/>
        <v>Moderado (3)</v>
      </c>
      <c r="K27" s="207"/>
      <c r="L27" s="229"/>
      <c r="M27" s="81" t="s">
        <v>7</v>
      </c>
      <c r="N27" s="204"/>
      <c r="O27" s="144" t="s">
        <v>479</v>
      </c>
      <c r="P27" s="144" t="s">
        <v>173</v>
      </c>
      <c r="Q27" s="144" t="s">
        <v>480</v>
      </c>
      <c r="R27" s="173" t="s">
        <v>481</v>
      </c>
      <c r="S27" s="144" t="s">
        <v>482</v>
      </c>
      <c r="T27" s="144" t="s">
        <v>483</v>
      </c>
      <c r="U27" s="96">
        <v>15</v>
      </c>
      <c r="V27" s="96">
        <v>15</v>
      </c>
      <c r="W27" s="96">
        <v>15</v>
      </c>
      <c r="X27" s="96">
        <v>15</v>
      </c>
      <c r="Y27" s="96">
        <v>15</v>
      </c>
      <c r="Z27" s="96">
        <v>15</v>
      </c>
      <c r="AA27" s="96">
        <v>10</v>
      </c>
      <c r="AB27" s="96">
        <f t="shared" si="11"/>
        <v>100</v>
      </c>
      <c r="AC27" s="96" t="s">
        <v>178</v>
      </c>
      <c r="AD27" s="96" t="s">
        <v>178</v>
      </c>
      <c r="AE27" s="96" t="str">
        <f>VLOOKUP(CONCATENATE(AC27,AD27),[12]Parámetros!$A$2:$B$10,2,0)</f>
        <v>Fuerte</v>
      </c>
      <c r="AF27" s="96">
        <v>100</v>
      </c>
      <c r="AG27" s="204"/>
      <c r="AH27" s="96" t="s">
        <v>180</v>
      </c>
      <c r="AI27" s="144" t="s">
        <v>181</v>
      </c>
      <c r="AJ27" s="96">
        <v>2</v>
      </c>
      <c r="AK27" s="96">
        <v>0</v>
      </c>
      <c r="AL27" s="230"/>
      <c r="AM27" s="230"/>
      <c r="AN27" s="219"/>
      <c r="AO27" s="226"/>
      <c r="AP27" s="227"/>
      <c r="AQ27" s="223"/>
      <c r="AR27" s="228"/>
      <c r="AS27" s="228"/>
      <c r="AT27" s="224"/>
      <c r="AU27" s="182"/>
      <c r="AV27" s="182"/>
      <c r="AW27" s="248"/>
    </row>
    <row r="28" spans="1:49" s="77" customFormat="1" ht="97.5" customHeight="1" x14ac:dyDescent="0.4">
      <c r="A28" s="225" t="s">
        <v>484</v>
      </c>
      <c r="B28" s="76" t="s">
        <v>238</v>
      </c>
      <c r="C28" s="76" t="s">
        <v>206</v>
      </c>
      <c r="D28" s="129" t="s">
        <v>207</v>
      </c>
      <c r="E28" s="85" t="s">
        <v>168</v>
      </c>
      <c r="F28" s="85" t="s">
        <v>485</v>
      </c>
      <c r="G28" s="85" t="s">
        <v>486</v>
      </c>
      <c r="H28" s="197" t="s">
        <v>487</v>
      </c>
      <c r="I28" s="81" t="s">
        <v>488</v>
      </c>
      <c r="J28" s="152" t="e">
        <f t="shared" si="7"/>
        <v>#VALUE!</v>
      </c>
      <c r="K28" s="63" t="e">
        <f>COUNTIF('[13]Criterios impacto 1'!H27:H45,"SI")</f>
        <v>#VALUE!</v>
      </c>
      <c r="L28" s="99" t="e">
        <f>VLOOKUP(CONCATENATE(I28,J28),[13]Parámetros!$A$56:$B$80,2,FALSE)</f>
        <v>#VALUE!</v>
      </c>
      <c r="M28" s="81" t="s">
        <v>7</v>
      </c>
      <c r="N28" s="96" t="s">
        <v>489</v>
      </c>
      <c r="O28" s="96" t="s">
        <v>490</v>
      </c>
      <c r="P28" s="96" t="s">
        <v>491</v>
      </c>
      <c r="Q28" s="96" t="s">
        <v>492</v>
      </c>
      <c r="R28" s="168" t="s">
        <v>493</v>
      </c>
      <c r="S28" s="96" t="s">
        <v>494</v>
      </c>
      <c r="T28" s="96" t="s">
        <v>495</v>
      </c>
      <c r="U28" s="75">
        <v>15</v>
      </c>
      <c r="V28" s="75">
        <v>15</v>
      </c>
      <c r="W28" s="75">
        <v>15</v>
      </c>
      <c r="X28" s="75">
        <v>15</v>
      </c>
      <c r="Y28" s="75">
        <v>15</v>
      </c>
      <c r="Z28" s="75">
        <v>15</v>
      </c>
      <c r="AA28" s="75">
        <v>10</v>
      </c>
      <c r="AB28" s="75">
        <f t="shared" ref="AB28:AB34" si="12">SUM(U28:AA28)</f>
        <v>100</v>
      </c>
      <c r="AC28" s="75" t="str">
        <f t="shared" ref="AC28" si="13">_xlfn.IFS(AB28&lt;=85,"Débil",AB28&gt;=96,"Fuerte",AB28&gt;=86,"Moderado")</f>
        <v>Fuerte</v>
      </c>
      <c r="AD28" s="75" t="s">
        <v>178</v>
      </c>
      <c r="AE28" s="75" t="str">
        <f>VLOOKUP(CONCATENATE(AC28,AD28),[13]Parámetros!$A$2:$B$10,2,FALSE)</f>
        <v>Fuerte</v>
      </c>
      <c r="AF28" s="75">
        <f t="shared" ref="AF28:AF33" si="14">_xlfn.IFS(AE28="Fuerte",100,AE28="Moderado",50,AE28="Débil",0)</f>
        <v>100</v>
      </c>
      <c r="AG28" s="96" t="str">
        <f>_xlfn.IFS(AVERAGE(AF28:AF28)=100,"Fuerte",AVERAGE(AF28:AF28)&lt;50,"Débil",AVERAGE(AF28:AF28)&gt;=50,"Moderado")</f>
        <v>Fuerte</v>
      </c>
      <c r="AH28" s="96" t="s">
        <v>180</v>
      </c>
      <c r="AI28" s="96" t="s">
        <v>181</v>
      </c>
      <c r="AJ28" s="75">
        <f>VLOOKUP(CONCATENATE(AG28,AH28,AI28),[13]Parámetros!$A$13:$B$24,2,FALSE)</f>
        <v>2</v>
      </c>
      <c r="AK28" s="75">
        <f>VLOOKUP(CONCATENATE(AG28,AH28,AI28),[13]Parámetros!$A$27:$B$38,2,FALSE)</f>
        <v>0</v>
      </c>
      <c r="AL28" s="75" t="s">
        <v>212</v>
      </c>
      <c r="AM28" s="75" t="s">
        <v>266</v>
      </c>
      <c r="AN28" s="103" t="str">
        <f>VLOOKUP(CONCATENATE(AL28,AM28),[13]Parámetros!$A$56:$B$80,2,FALSE)</f>
        <v>Alto (8)</v>
      </c>
      <c r="AO28" s="136" t="s">
        <v>496</v>
      </c>
      <c r="AP28" s="96" t="s">
        <v>489</v>
      </c>
      <c r="AQ28" s="157" t="s">
        <v>389</v>
      </c>
      <c r="AR28" s="85" t="s">
        <v>497</v>
      </c>
      <c r="AS28" s="96" t="s">
        <v>498</v>
      </c>
      <c r="AT28" s="64" t="s">
        <v>499</v>
      </c>
      <c r="AU28" s="258"/>
      <c r="AV28" s="258"/>
      <c r="AW28" s="248" t="s">
        <v>606</v>
      </c>
    </row>
    <row r="29" spans="1:49" s="77" customFormat="1" ht="97.5" customHeight="1" x14ac:dyDescent="0.4">
      <c r="A29" s="225"/>
      <c r="B29" s="181" t="s">
        <v>238</v>
      </c>
      <c r="C29" s="181" t="s">
        <v>206</v>
      </c>
      <c r="D29" s="221" t="s">
        <v>207</v>
      </c>
      <c r="E29" s="197" t="s">
        <v>168</v>
      </c>
      <c r="F29" s="197" t="s">
        <v>500</v>
      </c>
      <c r="G29" s="197" t="s">
        <v>501</v>
      </c>
      <c r="H29" s="197"/>
      <c r="I29" s="205" t="s">
        <v>326</v>
      </c>
      <c r="J29" s="192" t="e">
        <f t="shared" si="7"/>
        <v>#VALUE!</v>
      </c>
      <c r="K29" s="199" t="e">
        <f>COUNTIF('[13]Criterios impacto 2'!H27:H45,"SI")</f>
        <v>#VALUE!</v>
      </c>
      <c r="L29" s="208" t="e">
        <f>VLOOKUP(CONCATENATE(I29,J29),[13]Parámetros!$A$56:$B$80,2,FALSE)</f>
        <v>#VALUE!</v>
      </c>
      <c r="M29" s="81" t="s">
        <v>7</v>
      </c>
      <c r="N29" s="96" t="s">
        <v>502</v>
      </c>
      <c r="O29" s="96" t="s">
        <v>503</v>
      </c>
      <c r="P29" s="96" t="s">
        <v>491</v>
      </c>
      <c r="Q29" s="96" t="s">
        <v>504</v>
      </c>
      <c r="R29" s="168" t="s">
        <v>505</v>
      </c>
      <c r="S29" s="96" t="s">
        <v>506</v>
      </c>
      <c r="T29" s="96" t="s">
        <v>507</v>
      </c>
      <c r="U29" s="75">
        <v>15</v>
      </c>
      <c r="V29" s="75">
        <v>15</v>
      </c>
      <c r="W29" s="75">
        <v>15</v>
      </c>
      <c r="X29" s="75">
        <v>15</v>
      </c>
      <c r="Y29" s="75">
        <v>15</v>
      </c>
      <c r="Z29" s="75">
        <v>15</v>
      </c>
      <c r="AA29" s="75">
        <v>10</v>
      </c>
      <c r="AB29" s="75">
        <f t="shared" si="12"/>
        <v>100</v>
      </c>
      <c r="AC29" s="75" t="str">
        <f t="shared" ref="AC29:AC33" si="15">_xlfn.IFS(AB29&lt;=85,"Débil",AB29&gt;=96,"Fuerte",AB29&gt;=86,"Moderado")</f>
        <v>Fuerte</v>
      </c>
      <c r="AD29" s="75" t="s">
        <v>178</v>
      </c>
      <c r="AE29" s="75" t="str">
        <f>VLOOKUP(CONCATENATE(AC29,AD29),[13]Parámetros!$A$2:$B$10,2,FALSE)</f>
        <v>Fuerte</v>
      </c>
      <c r="AF29" s="75">
        <f t="shared" si="14"/>
        <v>100</v>
      </c>
      <c r="AG29" s="96" t="str">
        <f>_xlfn.IFS(AVERAGE(AF29)=100,"Fuerte",AVERAGE(AF29)&lt;50,"Débil",AVERAGE(AF29)&gt;=50,"Moderado")</f>
        <v>Fuerte</v>
      </c>
      <c r="AH29" s="96" t="s">
        <v>180</v>
      </c>
      <c r="AI29" s="96" t="s">
        <v>181</v>
      </c>
      <c r="AJ29" s="96">
        <v>2</v>
      </c>
      <c r="AK29" s="96">
        <v>0</v>
      </c>
      <c r="AL29" s="197" t="s">
        <v>212</v>
      </c>
      <c r="AM29" s="197" t="s">
        <v>266</v>
      </c>
      <c r="AN29" s="213" t="str">
        <f>VLOOKUP(CONCATENATE(AL29,AM29),[13]Parámetros!$A$56:$B$80,2,FALSE)</f>
        <v>Alto (8)</v>
      </c>
      <c r="AO29" s="222" t="s">
        <v>508</v>
      </c>
      <c r="AP29" s="197" t="s">
        <v>489</v>
      </c>
      <c r="AQ29" s="223" t="s">
        <v>389</v>
      </c>
      <c r="AR29" s="197" t="s">
        <v>509</v>
      </c>
      <c r="AS29" s="197" t="s">
        <v>510</v>
      </c>
      <c r="AT29" s="193" t="s">
        <v>499</v>
      </c>
      <c r="AU29" s="258"/>
      <c r="AV29" s="258"/>
      <c r="AW29" s="257"/>
    </row>
    <row r="30" spans="1:49" s="77" customFormat="1" ht="97.5" customHeight="1" x14ac:dyDescent="0.4">
      <c r="A30" s="225"/>
      <c r="B30" s="181"/>
      <c r="C30" s="181"/>
      <c r="D30" s="221"/>
      <c r="E30" s="197"/>
      <c r="F30" s="197"/>
      <c r="G30" s="197"/>
      <c r="H30" s="197"/>
      <c r="I30" s="205"/>
      <c r="J30" s="192"/>
      <c r="K30" s="199"/>
      <c r="L30" s="208"/>
      <c r="M30" s="81" t="s">
        <v>188</v>
      </c>
      <c r="N30" s="96" t="s">
        <v>511</v>
      </c>
      <c r="O30" s="96" t="s">
        <v>512</v>
      </c>
      <c r="P30" s="96" t="s">
        <v>491</v>
      </c>
      <c r="Q30" s="96" t="s">
        <v>513</v>
      </c>
      <c r="R30" s="168" t="s">
        <v>514</v>
      </c>
      <c r="S30" s="96" t="s">
        <v>515</v>
      </c>
      <c r="T30" s="96" t="s">
        <v>516</v>
      </c>
      <c r="U30" s="75">
        <v>15</v>
      </c>
      <c r="V30" s="75">
        <v>15</v>
      </c>
      <c r="W30" s="75">
        <v>15</v>
      </c>
      <c r="X30" s="75">
        <v>15</v>
      </c>
      <c r="Y30" s="75">
        <v>15</v>
      </c>
      <c r="Z30" s="75">
        <v>15</v>
      </c>
      <c r="AA30" s="75">
        <v>10</v>
      </c>
      <c r="AB30" s="75">
        <f>SUM(U30:AA30)</f>
        <v>100</v>
      </c>
      <c r="AC30" s="75" t="s">
        <v>178</v>
      </c>
      <c r="AD30" s="75" t="s">
        <v>178</v>
      </c>
      <c r="AE30" s="75" t="s">
        <v>312</v>
      </c>
      <c r="AF30" s="75">
        <v>100</v>
      </c>
      <c r="AG30" s="96" t="s">
        <v>178</v>
      </c>
      <c r="AH30" s="96" t="s">
        <v>180</v>
      </c>
      <c r="AI30" s="96" t="s">
        <v>181</v>
      </c>
      <c r="AJ30" s="96">
        <v>2</v>
      </c>
      <c r="AK30" s="96">
        <v>0</v>
      </c>
      <c r="AL30" s="197"/>
      <c r="AM30" s="197"/>
      <c r="AN30" s="213"/>
      <c r="AO30" s="222"/>
      <c r="AP30" s="197"/>
      <c r="AQ30" s="223"/>
      <c r="AR30" s="197"/>
      <c r="AS30" s="197"/>
      <c r="AT30" s="193"/>
      <c r="AU30" s="258"/>
      <c r="AV30" s="258"/>
      <c r="AW30" s="257"/>
    </row>
    <row r="31" spans="1:49" s="77" customFormat="1" ht="97.5" customHeight="1" x14ac:dyDescent="0.4">
      <c r="A31" s="225"/>
      <c r="B31" s="76" t="s">
        <v>238</v>
      </c>
      <c r="C31" s="76" t="s">
        <v>206</v>
      </c>
      <c r="D31" s="129" t="s">
        <v>207</v>
      </c>
      <c r="E31" s="85" t="s">
        <v>168</v>
      </c>
      <c r="F31" s="85" t="s">
        <v>517</v>
      </c>
      <c r="G31" s="85" t="s">
        <v>518</v>
      </c>
      <c r="H31" s="96" t="s">
        <v>519</v>
      </c>
      <c r="I31" s="81" t="s">
        <v>326</v>
      </c>
      <c r="J31" s="152" t="e">
        <f>IF(K31&lt;6,"Moderado (3)",IF(K31&lt;12,"Mayor (4)","Catastrófico (5)"))</f>
        <v>#VALUE!</v>
      </c>
      <c r="K31" s="63" t="e">
        <f>COUNTIF('[13]Criterios impacto 3'!H27:H45,"SI")</f>
        <v>#VALUE!</v>
      </c>
      <c r="L31" s="99" t="e">
        <f>VLOOKUP(CONCATENATE(I31,J31),[13]Parámetros!$A$56:$B$80,2,FALSE)</f>
        <v>#VALUE!</v>
      </c>
      <c r="M31" s="81" t="s">
        <v>7</v>
      </c>
      <c r="N31" s="96" t="s">
        <v>489</v>
      </c>
      <c r="O31" s="96" t="s">
        <v>512</v>
      </c>
      <c r="P31" s="96" t="s">
        <v>491</v>
      </c>
      <c r="Q31" s="96" t="s">
        <v>520</v>
      </c>
      <c r="R31" s="168" t="s">
        <v>521</v>
      </c>
      <c r="S31" s="96" t="s">
        <v>522</v>
      </c>
      <c r="T31" s="96" t="s">
        <v>523</v>
      </c>
      <c r="U31" s="75">
        <v>15</v>
      </c>
      <c r="V31" s="75">
        <v>15</v>
      </c>
      <c r="W31" s="75">
        <v>15</v>
      </c>
      <c r="X31" s="75">
        <v>15</v>
      </c>
      <c r="Y31" s="75">
        <v>15</v>
      </c>
      <c r="Z31" s="75">
        <v>15</v>
      </c>
      <c r="AA31" s="75">
        <v>10</v>
      </c>
      <c r="AB31" s="75">
        <f t="shared" si="12"/>
        <v>100</v>
      </c>
      <c r="AC31" s="75" t="str">
        <f t="shared" si="15"/>
        <v>Fuerte</v>
      </c>
      <c r="AD31" s="75" t="s">
        <v>178</v>
      </c>
      <c r="AE31" s="75" t="str">
        <f>VLOOKUP(CONCATENATE(AC31,AD31),[13]Parámetros!$A$2:$B$10,2,FALSE)</f>
        <v>Fuerte</v>
      </c>
      <c r="AF31" s="75">
        <f t="shared" si="14"/>
        <v>100</v>
      </c>
      <c r="AG31" s="96" t="str">
        <f>_xlfn.IFS(AVERAGE(AF31)=100,"Fuerte",AVERAGE(AF31)&lt;50,"Débil",AVERAGE(AF31)&gt;=50,"Moderado")</f>
        <v>Fuerte</v>
      </c>
      <c r="AH31" s="96" t="s">
        <v>180</v>
      </c>
      <c r="AI31" s="96" t="s">
        <v>181</v>
      </c>
      <c r="AJ31" s="75">
        <v>2</v>
      </c>
      <c r="AK31" s="75">
        <f>VLOOKUP(CONCATENATE(AG28,AH31,AI31),[13]Parámetros!$A$27:$B$38,2,FALSE)</f>
        <v>0</v>
      </c>
      <c r="AL31" s="75" t="s">
        <v>212</v>
      </c>
      <c r="AM31" s="75" t="s">
        <v>266</v>
      </c>
      <c r="AN31" s="103" t="str">
        <f>VLOOKUP(CONCATENATE(AL31,AM31),[13]Parámetros!$A$56:$B$80,2,FALSE)</f>
        <v>Alto (8)</v>
      </c>
      <c r="AO31" s="136" t="s">
        <v>524</v>
      </c>
      <c r="AP31" s="96" t="s">
        <v>489</v>
      </c>
      <c r="AQ31" s="157" t="s">
        <v>389</v>
      </c>
      <c r="AR31" s="85" t="s">
        <v>525</v>
      </c>
      <c r="AS31" s="197" t="s">
        <v>526</v>
      </c>
      <c r="AT31" s="65" t="s">
        <v>499</v>
      </c>
      <c r="AU31" s="258"/>
      <c r="AV31" s="258"/>
      <c r="AW31" s="257"/>
    </row>
    <row r="32" spans="1:49" s="77" customFormat="1" ht="97.5" customHeight="1" x14ac:dyDescent="0.4">
      <c r="A32" s="225"/>
      <c r="B32" s="181" t="s">
        <v>238</v>
      </c>
      <c r="C32" s="181" t="s">
        <v>206</v>
      </c>
      <c r="D32" s="221" t="s">
        <v>207</v>
      </c>
      <c r="E32" s="197" t="s">
        <v>168</v>
      </c>
      <c r="F32" s="197" t="s">
        <v>517</v>
      </c>
      <c r="G32" s="197" t="s">
        <v>527</v>
      </c>
      <c r="H32" s="204" t="s">
        <v>528</v>
      </c>
      <c r="I32" s="205" t="s">
        <v>529</v>
      </c>
      <c r="J32" s="192" t="e">
        <f>IF(K32&lt;6,"Moderado (3)",IF(K32&lt;12,"Mayor (4)","Catastrófico (5)"))</f>
        <v>#VALUE!</v>
      </c>
      <c r="K32" s="199" t="e">
        <f>COUNTIF('[13]Criterios impacto 4'!H27:H45,"SI")</f>
        <v>#VALUE!</v>
      </c>
      <c r="L32" s="208" t="e">
        <f>VLOOKUP(CONCATENATE(I32,J32),[13]Parámetros!$A$56:$B$80,2,FALSE)</f>
        <v>#VALUE!</v>
      </c>
      <c r="M32" s="81" t="s">
        <v>7</v>
      </c>
      <c r="N32" s="96" t="s">
        <v>489</v>
      </c>
      <c r="O32" s="96" t="s">
        <v>530</v>
      </c>
      <c r="P32" s="96" t="s">
        <v>531</v>
      </c>
      <c r="Q32" s="96" t="s">
        <v>532</v>
      </c>
      <c r="R32" s="168" t="s">
        <v>533</v>
      </c>
      <c r="S32" s="96" t="s">
        <v>534</v>
      </c>
      <c r="T32" s="96" t="s">
        <v>535</v>
      </c>
      <c r="U32" s="75">
        <v>15</v>
      </c>
      <c r="V32" s="75">
        <v>15</v>
      </c>
      <c r="W32" s="75">
        <v>15</v>
      </c>
      <c r="X32" s="75">
        <v>15</v>
      </c>
      <c r="Y32" s="75">
        <v>15</v>
      </c>
      <c r="Z32" s="75">
        <v>15</v>
      </c>
      <c r="AA32" s="75">
        <v>10</v>
      </c>
      <c r="AB32" s="75">
        <f t="shared" si="12"/>
        <v>100</v>
      </c>
      <c r="AC32" s="75" t="str">
        <f t="shared" si="15"/>
        <v>Fuerte</v>
      </c>
      <c r="AD32" s="75" t="s">
        <v>178</v>
      </c>
      <c r="AE32" s="75" t="str">
        <f>VLOOKUP(CONCATENATE(AC32,AD32),[13]Parámetros!$A$2:$B$10,2,FALSE)</f>
        <v>Fuerte</v>
      </c>
      <c r="AF32" s="75">
        <f t="shared" si="14"/>
        <v>100</v>
      </c>
      <c r="AG32" s="204" t="str">
        <f>_xlfn.IFS(AVERAGE(AF32:AF33)=100,"Fuerte",AVERAGE(AF32:AF33)&lt;50,"Débil",AVERAGE(AF32:AF33)&gt;=50,"Moderado")</f>
        <v>Fuerte</v>
      </c>
      <c r="AH32" s="96" t="s">
        <v>180</v>
      </c>
      <c r="AI32" s="96" t="s">
        <v>181</v>
      </c>
      <c r="AJ32" s="75">
        <v>2</v>
      </c>
      <c r="AK32" s="75">
        <v>0</v>
      </c>
      <c r="AL32" s="210" t="s">
        <v>488</v>
      </c>
      <c r="AM32" s="210" t="s">
        <v>266</v>
      </c>
      <c r="AN32" s="213" t="str">
        <f>VLOOKUP(CONCATENATE(AL32,AM32),[13]Parámetros!$A$56:$B$80,2,FALSE)</f>
        <v>Extremo (12)</v>
      </c>
      <c r="AO32" s="136" t="s">
        <v>536</v>
      </c>
      <c r="AP32" s="96" t="s">
        <v>489</v>
      </c>
      <c r="AQ32" s="157" t="s">
        <v>389</v>
      </c>
      <c r="AR32" s="81" t="s">
        <v>537</v>
      </c>
      <c r="AS32" s="197"/>
      <c r="AT32" s="193" t="s">
        <v>499</v>
      </c>
      <c r="AU32" s="258"/>
      <c r="AV32" s="258"/>
      <c r="AW32" s="257"/>
    </row>
    <row r="33" spans="1:49" s="77" customFormat="1" ht="97.5" customHeight="1" x14ac:dyDescent="0.4">
      <c r="A33" s="225"/>
      <c r="B33" s="181"/>
      <c r="C33" s="181"/>
      <c r="D33" s="221"/>
      <c r="E33" s="197"/>
      <c r="F33" s="197"/>
      <c r="G33" s="197"/>
      <c r="H33" s="204"/>
      <c r="I33" s="205"/>
      <c r="J33" s="192"/>
      <c r="K33" s="199"/>
      <c r="L33" s="208"/>
      <c r="M33" s="81" t="s">
        <v>188</v>
      </c>
      <c r="N33" s="96" t="s">
        <v>489</v>
      </c>
      <c r="O33" s="96" t="s">
        <v>512</v>
      </c>
      <c r="P33" s="96" t="s">
        <v>538</v>
      </c>
      <c r="Q33" s="96" t="s">
        <v>539</v>
      </c>
      <c r="R33" s="168" t="s">
        <v>540</v>
      </c>
      <c r="S33" s="96" t="s">
        <v>541</v>
      </c>
      <c r="T33" s="96" t="s">
        <v>542</v>
      </c>
      <c r="U33" s="75">
        <v>15</v>
      </c>
      <c r="V33" s="75">
        <v>15</v>
      </c>
      <c r="W33" s="75">
        <v>15</v>
      </c>
      <c r="X33" s="75">
        <v>15</v>
      </c>
      <c r="Y33" s="75">
        <v>15</v>
      </c>
      <c r="Z33" s="75">
        <v>15</v>
      </c>
      <c r="AA33" s="75">
        <v>10</v>
      </c>
      <c r="AB33" s="75">
        <f t="shared" si="12"/>
        <v>100</v>
      </c>
      <c r="AC33" s="75" t="str">
        <f t="shared" si="15"/>
        <v>Fuerte</v>
      </c>
      <c r="AD33" s="75" t="s">
        <v>178</v>
      </c>
      <c r="AE33" s="75" t="str">
        <f>VLOOKUP(CONCATENATE(AC33,AD33),[13]Parámetros!$A$2:$B$10,2,FALSE)</f>
        <v>Fuerte</v>
      </c>
      <c r="AF33" s="75">
        <f t="shared" si="14"/>
        <v>100</v>
      </c>
      <c r="AG33" s="204"/>
      <c r="AH33" s="96" t="s">
        <v>180</v>
      </c>
      <c r="AI33" s="96" t="s">
        <v>181</v>
      </c>
      <c r="AJ33" s="75">
        <v>2</v>
      </c>
      <c r="AK33" s="75">
        <v>0</v>
      </c>
      <c r="AL33" s="210"/>
      <c r="AM33" s="210"/>
      <c r="AN33" s="213"/>
      <c r="AO33" s="136" t="s">
        <v>543</v>
      </c>
      <c r="AP33" s="96" t="s">
        <v>489</v>
      </c>
      <c r="AQ33" s="157" t="s">
        <v>389</v>
      </c>
      <c r="AR33" s="85" t="s">
        <v>544</v>
      </c>
      <c r="AS33" s="197"/>
      <c r="AT33" s="193"/>
      <c r="AU33" s="258"/>
      <c r="AV33" s="258"/>
      <c r="AW33" s="257"/>
    </row>
    <row r="34" spans="1:49" s="77" customFormat="1" ht="97.5" customHeight="1" x14ac:dyDescent="0.4">
      <c r="A34" s="188" t="s">
        <v>545</v>
      </c>
      <c r="B34" s="191" t="s">
        <v>255</v>
      </c>
      <c r="C34" s="188" t="s">
        <v>206</v>
      </c>
      <c r="D34" s="214" t="s">
        <v>207</v>
      </c>
      <c r="E34" s="200" t="s">
        <v>168</v>
      </c>
      <c r="F34" s="200" t="s">
        <v>546</v>
      </c>
      <c r="G34" s="215" t="s">
        <v>547</v>
      </c>
      <c r="H34" s="191" t="s">
        <v>548</v>
      </c>
      <c r="I34" s="201" t="s">
        <v>212</v>
      </c>
      <c r="J34" s="192" t="e">
        <f>IF(K34&lt;6,"Moderado (3)",IF(K34&lt;12,"Mayor (4)","Catastrófico (5)"))</f>
        <v>#VALUE!</v>
      </c>
      <c r="K34" s="199" t="e">
        <f>COUNTIF('[14]Criterios impacto'!G32:G50,"SI")</f>
        <v>#VALUE!</v>
      </c>
      <c r="L34" s="202" t="e">
        <f>VLOOKUP(CONCATENATE(I34,J34),[15]Parámetros!$A$56:$B$80,2,FALSE)</f>
        <v>#VALUE!</v>
      </c>
      <c r="M34" s="203" t="s">
        <v>8</v>
      </c>
      <c r="N34" s="188" t="s">
        <v>549</v>
      </c>
      <c r="O34" s="188" t="s">
        <v>550</v>
      </c>
      <c r="P34" s="188" t="s">
        <v>551</v>
      </c>
      <c r="Q34" s="189" t="s">
        <v>552</v>
      </c>
      <c r="R34" s="190" t="s">
        <v>553</v>
      </c>
      <c r="S34" s="191" t="s">
        <v>554</v>
      </c>
      <c r="T34" s="191" t="s">
        <v>555</v>
      </c>
      <c r="U34" s="198">
        <v>15</v>
      </c>
      <c r="V34" s="198">
        <v>15</v>
      </c>
      <c r="W34" s="198">
        <v>15</v>
      </c>
      <c r="X34" s="198">
        <v>10</v>
      </c>
      <c r="Y34" s="198">
        <v>15</v>
      </c>
      <c r="Z34" s="198">
        <v>15</v>
      </c>
      <c r="AA34" s="198">
        <v>10</v>
      </c>
      <c r="AB34" s="198">
        <f t="shared" si="12"/>
        <v>95</v>
      </c>
      <c r="AC34" s="198" t="s">
        <v>56</v>
      </c>
      <c r="AD34" s="198" t="s">
        <v>178</v>
      </c>
      <c r="AE34" s="198" t="str">
        <f>VLOOKUP(CONCATENATE(AC34,AD34),[15]Parámetros!$A$2:$B$10,2,FALSE)</f>
        <v>Moderado</v>
      </c>
      <c r="AF34" s="198">
        <v>50</v>
      </c>
      <c r="AG34" s="198" t="s">
        <v>56</v>
      </c>
      <c r="AH34" s="198" t="s">
        <v>181</v>
      </c>
      <c r="AI34" s="198" t="s">
        <v>556</v>
      </c>
      <c r="AJ34" s="198">
        <v>0</v>
      </c>
      <c r="AK34" s="198">
        <v>0</v>
      </c>
      <c r="AL34" s="198" t="s">
        <v>212</v>
      </c>
      <c r="AM34" s="198" t="s">
        <v>266</v>
      </c>
      <c r="AN34" s="212" t="str">
        <f>VLOOKUP(CONCATENATE(AL34,AM34),[15]Parámetros!$A$56:$B$80,2,FALSE)</f>
        <v>Alto (8)</v>
      </c>
      <c r="AO34" s="217" t="s">
        <v>557</v>
      </c>
      <c r="AP34" s="189" t="s">
        <v>558</v>
      </c>
      <c r="AQ34" s="218" t="s">
        <v>221</v>
      </c>
      <c r="AR34" s="200" t="s">
        <v>559</v>
      </c>
      <c r="AS34" s="215" t="s">
        <v>560</v>
      </c>
      <c r="AT34" s="216" t="s">
        <v>561</v>
      </c>
      <c r="AU34" s="254"/>
      <c r="AV34" s="254"/>
      <c r="AW34" s="248" t="s">
        <v>603</v>
      </c>
    </row>
    <row r="35" spans="1:49" s="77" customFormat="1" ht="97.5" customHeight="1" x14ac:dyDescent="0.4">
      <c r="A35" s="188"/>
      <c r="B35" s="191"/>
      <c r="C35" s="188"/>
      <c r="D35" s="214"/>
      <c r="E35" s="200"/>
      <c r="F35" s="200"/>
      <c r="G35" s="215"/>
      <c r="H35" s="191"/>
      <c r="I35" s="201"/>
      <c r="J35" s="192"/>
      <c r="K35" s="199"/>
      <c r="L35" s="202"/>
      <c r="M35" s="203"/>
      <c r="N35" s="188"/>
      <c r="O35" s="188"/>
      <c r="P35" s="188"/>
      <c r="Q35" s="189"/>
      <c r="R35" s="190"/>
      <c r="S35" s="191"/>
      <c r="T35" s="191"/>
      <c r="U35" s="198"/>
      <c r="V35" s="198"/>
      <c r="W35" s="198"/>
      <c r="X35" s="198"/>
      <c r="Y35" s="198"/>
      <c r="Z35" s="198"/>
      <c r="AA35" s="198"/>
      <c r="AB35" s="198"/>
      <c r="AC35" s="198"/>
      <c r="AD35" s="198"/>
      <c r="AE35" s="198"/>
      <c r="AF35" s="198"/>
      <c r="AG35" s="198"/>
      <c r="AH35" s="198"/>
      <c r="AI35" s="198"/>
      <c r="AJ35" s="198"/>
      <c r="AK35" s="198"/>
      <c r="AL35" s="198"/>
      <c r="AM35" s="198"/>
      <c r="AN35" s="212"/>
      <c r="AO35" s="217"/>
      <c r="AP35" s="189"/>
      <c r="AQ35" s="218"/>
      <c r="AR35" s="200"/>
      <c r="AS35" s="215"/>
      <c r="AT35" s="216"/>
      <c r="AU35" s="254"/>
      <c r="AV35" s="254"/>
      <c r="AW35" s="248"/>
    </row>
    <row r="36" spans="1:49" ht="97.5" customHeight="1" x14ac:dyDescent="0.4">
      <c r="A36" s="209" t="s">
        <v>562</v>
      </c>
      <c r="B36" s="210" t="s">
        <v>255</v>
      </c>
      <c r="C36" s="210" t="s">
        <v>206</v>
      </c>
      <c r="D36" s="211" t="s">
        <v>207</v>
      </c>
      <c r="E36" s="204" t="s">
        <v>168</v>
      </c>
      <c r="F36" s="197" t="s">
        <v>563</v>
      </c>
      <c r="G36" s="204" t="s">
        <v>564</v>
      </c>
      <c r="H36" s="204" t="s">
        <v>565</v>
      </c>
      <c r="I36" s="205" t="s">
        <v>172</v>
      </c>
      <c r="J36" s="192" t="e">
        <f>IF(K36&lt;6,"Moderado (3)",IF(K36&lt;12,"Mayor (4)","Catastrófico (5)"))</f>
        <v>#VALUE!</v>
      </c>
      <c r="K36" s="207" t="e">
        <f>COUNTIF('[16]Criterios impacto 1'!H35:H53,"SI")</f>
        <v>#VALUE!</v>
      </c>
      <c r="L36" s="208" t="e">
        <f>VLOOKUP(CONCATENATE(I36,J36),[16]Parámetros!$A$56:$B$80,2,FALSE)</f>
        <v>#VALUE!</v>
      </c>
      <c r="M36" s="205" t="s">
        <v>7</v>
      </c>
      <c r="N36" s="204" t="s">
        <v>566</v>
      </c>
      <c r="O36" s="197" t="s">
        <v>567</v>
      </c>
      <c r="P36" s="197" t="s">
        <v>531</v>
      </c>
      <c r="Q36" s="197" t="s">
        <v>568</v>
      </c>
      <c r="R36" s="206" t="s">
        <v>569</v>
      </c>
      <c r="S36" s="197" t="s">
        <v>570</v>
      </c>
      <c r="T36" s="204" t="s">
        <v>571</v>
      </c>
      <c r="U36" s="181">
        <v>15</v>
      </c>
      <c r="V36" s="181">
        <v>15</v>
      </c>
      <c r="W36" s="181">
        <v>15</v>
      </c>
      <c r="X36" s="181">
        <v>15</v>
      </c>
      <c r="Y36" s="181">
        <v>15</v>
      </c>
      <c r="Z36" s="181">
        <v>15</v>
      </c>
      <c r="AA36" s="181">
        <v>10</v>
      </c>
      <c r="AB36" s="181">
        <f>SUM(U36:AA36)</f>
        <v>100</v>
      </c>
      <c r="AC36" s="181" t="s">
        <v>312</v>
      </c>
      <c r="AD36" s="181" t="s">
        <v>178</v>
      </c>
      <c r="AE36" s="181" t="s">
        <v>178</v>
      </c>
      <c r="AF36" s="181">
        <v>100</v>
      </c>
      <c r="AG36" s="181" t="s">
        <v>178</v>
      </c>
      <c r="AH36" s="181" t="s">
        <v>180</v>
      </c>
      <c r="AI36" s="181" t="s">
        <v>181</v>
      </c>
      <c r="AJ36" s="181">
        <f>VLOOKUP(CONCATENATE(AG36,AH36,AI36),[16]Parámetros!$A$13:$B$24,2,FALSE)</f>
        <v>2</v>
      </c>
      <c r="AK36" s="181">
        <f>VLOOKUP(CONCATENATE(AG36,AH36,AI36),[16]Parámetros!$A$27:$B$38,2,FALSE)</f>
        <v>0</v>
      </c>
      <c r="AL36" s="194" t="s">
        <v>172</v>
      </c>
      <c r="AM36" s="194" t="s">
        <v>182</v>
      </c>
      <c r="AN36" s="195" t="str">
        <f>VLOOKUP(CONCATENATE(AL36,AM36),[16]Parámetros!$A$56:$B$80,2,FALSE)</f>
        <v>Moderado (3)</v>
      </c>
      <c r="AO36" s="196" t="s">
        <v>572</v>
      </c>
      <c r="AP36" s="197" t="s">
        <v>566</v>
      </c>
      <c r="AQ36" s="181" t="s">
        <v>221</v>
      </c>
      <c r="AR36" s="197" t="s">
        <v>573</v>
      </c>
      <c r="AS36" s="197" t="s">
        <v>574</v>
      </c>
      <c r="AT36" s="193" t="s">
        <v>575</v>
      </c>
      <c r="AU36" s="255" t="s">
        <v>604</v>
      </c>
      <c r="AV36" s="256"/>
      <c r="AW36" s="248" t="s">
        <v>605</v>
      </c>
    </row>
    <row r="37" spans="1:49" ht="97.5" customHeight="1" x14ac:dyDescent="0.4">
      <c r="A37" s="209"/>
      <c r="B37" s="210"/>
      <c r="C37" s="210"/>
      <c r="D37" s="211"/>
      <c r="E37" s="204"/>
      <c r="F37" s="197"/>
      <c r="G37" s="204"/>
      <c r="H37" s="204"/>
      <c r="I37" s="205"/>
      <c r="J37" s="192"/>
      <c r="K37" s="207"/>
      <c r="L37" s="208"/>
      <c r="M37" s="205"/>
      <c r="N37" s="204"/>
      <c r="O37" s="197"/>
      <c r="P37" s="197"/>
      <c r="Q37" s="197"/>
      <c r="R37" s="206"/>
      <c r="S37" s="197"/>
      <c r="T37" s="204"/>
      <c r="U37" s="181"/>
      <c r="V37" s="181"/>
      <c r="W37" s="181"/>
      <c r="X37" s="181"/>
      <c r="Y37" s="181"/>
      <c r="Z37" s="181"/>
      <c r="AA37" s="181"/>
      <c r="AB37" s="181"/>
      <c r="AC37" s="181"/>
      <c r="AD37" s="181"/>
      <c r="AE37" s="181"/>
      <c r="AF37" s="181"/>
      <c r="AG37" s="181"/>
      <c r="AH37" s="181"/>
      <c r="AI37" s="181"/>
      <c r="AJ37" s="181"/>
      <c r="AK37" s="181"/>
      <c r="AL37" s="194"/>
      <c r="AM37" s="194"/>
      <c r="AN37" s="195"/>
      <c r="AO37" s="196"/>
      <c r="AP37" s="197"/>
      <c r="AQ37" s="181"/>
      <c r="AR37" s="197"/>
      <c r="AS37" s="197"/>
      <c r="AT37" s="193"/>
      <c r="AU37" s="255"/>
      <c r="AV37" s="256"/>
      <c r="AW37" s="248"/>
    </row>
    <row r="38" spans="1:49" x14ac:dyDescent="0.4">
      <c r="AU38" s="180"/>
      <c r="AV38" s="180"/>
      <c r="AW38" s="178"/>
    </row>
    <row r="39" spans="1:49" x14ac:dyDescent="0.4">
      <c r="AU39" s="180"/>
      <c r="AV39" s="180"/>
      <c r="AW39" s="178"/>
    </row>
    <row r="40" spans="1:49" x14ac:dyDescent="0.4">
      <c r="AU40" s="180"/>
      <c r="AV40" s="180"/>
      <c r="AW40" s="178"/>
    </row>
    <row r="41" spans="1:49" x14ac:dyDescent="0.4">
      <c r="AU41" s="180"/>
      <c r="AV41" s="180"/>
      <c r="AW41" s="178"/>
    </row>
    <row r="42" spans="1:49" x14ac:dyDescent="0.4">
      <c r="AW42" s="178"/>
    </row>
    <row r="43" spans="1:49" x14ac:dyDescent="0.4">
      <c r="AW43" s="178"/>
    </row>
    <row r="44" spans="1:49" x14ac:dyDescent="0.4">
      <c r="AW44" s="178"/>
    </row>
    <row r="45" spans="1:49" x14ac:dyDescent="0.4">
      <c r="AW45" s="178"/>
    </row>
    <row r="46" spans="1:49" x14ac:dyDescent="0.4">
      <c r="AW46" s="178"/>
    </row>
    <row r="47" spans="1:49" x14ac:dyDescent="0.4">
      <c r="AW47" s="178"/>
    </row>
    <row r="48" spans="1:49" x14ac:dyDescent="0.4">
      <c r="AW48" s="178"/>
    </row>
    <row r="49" spans="49:49" x14ac:dyDescent="0.4">
      <c r="AW49" s="178"/>
    </row>
  </sheetData>
  <protectedRanges>
    <protectedRange sqref="R32:R33" name="Rango2_2_1"/>
    <protectedRange sqref="O32" name="Rango2_3_1"/>
  </protectedRanges>
  <mergeCells count="267">
    <mergeCell ref="AW6:AW7"/>
    <mergeCell ref="AW9:AW14"/>
    <mergeCell ref="AW15:AW18"/>
    <mergeCell ref="AW20:AW21"/>
    <mergeCell ref="AW24:AW27"/>
    <mergeCell ref="AU34:AU35"/>
    <mergeCell ref="AW34:AW35"/>
    <mergeCell ref="AW36:AW37"/>
    <mergeCell ref="AV34:AV35"/>
    <mergeCell ref="AU36:AU37"/>
    <mergeCell ref="AV36:AV37"/>
    <mergeCell ref="AW28:AW33"/>
    <mergeCell ref="AV28:AV33"/>
    <mergeCell ref="AU28:AU33"/>
    <mergeCell ref="AT3:AT5"/>
    <mergeCell ref="AL3:AL5"/>
    <mergeCell ref="AM3:AM5"/>
    <mergeCell ref="AN3:AN5"/>
    <mergeCell ref="AO3:AO5"/>
    <mergeCell ref="AP3:AP5"/>
    <mergeCell ref="AU3:AU5"/>
    <mergeCell ref="AV3:AV5"/>
    <mergeCell ref="AW3:AW5"/>
    <mergeCell ref="A6:A7"/>
    <mergeCell ref="AS6:AS7"/>
    <mergeCell ref="A9:A14"/>
    <mergeCell ref="B9:B10"/>
    <mergeCell ref="C9:C10"/>
    <mergeCell ref="D9:D10"/>
    <mergeCell ref="E9:E10"/>
    <mergeCell ref="AQ3:AQ5"/>
    <mergeCell ref="AR3:AR5"/>
    <mergeCell ref="AS3:AS5"/>
    <mergeCell ref="B3:B5"/>
    <mergeCell ref="D3:D5"/>
    <mergeCell ref="E3:E5"/>
    <mergeCell ref="G3:G5"/>
    <mergeCell ref="H3:H5"/>
    <mergeCell ref="I3:I5"/>
    <mergeCell ref="J3:J5"/>
    <mergeCell ref="AG3:AG5"/>
    <mergeCell ref="A3:A5"/>
    <mergeCell ref="C3:C5"/>
    <mergeCell ref="K3:K5"/>
    <mergeCell ref="L3:L5"/>
    <mergeCell ref="N3:N5"/>
    <mergeCell ref="AP9:AP10"/>
    <mergeCell ref="N9:N10"/>
    <mergeCell ref="AG9:AG10"/>
    <mergeCell ref="G9:G10"/>
    <mergeCell ref="H9:H10"/>
    <mergeCell ref="I9:I10"/>
    <mergeCell ref="J9:J10"/>
    <mergeCell ref="K9:K10"/>
    <mergeCell ref="L9:L10"/>
    <mergeCell ref="AG11:AG12"/>
    <mergeCell ref="J11:J12"/>
    <mergeCell ref="K11:K12"/>
    <mergeCell ref="L11:L12"/>
    <mergeCell ref="N11:N12"/>
    <mergeCell ref="B11:B12"/>
    <mergeCell ref="C11:C12"/>
    <mergeCell ref="D11:D12"/>
    <mergeCell ref="E11:E12"/>
    <mergeCell ref="G11:G12"/>
    <mergeCell ref="H11:H12"/>
    <mergeCell ref="I11:I12"/>
    <mergeCell ref="AM11:AM12"/>
    <mergeCell ref="AN11:AN12"/>
    <mergeCell ref="AS9:AS10"/>
    <mergeCell ref="AT9:AT10"/>
    <mergeCell ref="AL9:AL10"/>
    <mergeCell ref="AM9:AM10"/>
    <mergeCell ref="AN9:AN10"/>
    <mergeCell ref="AR11:AR12"/>
    <mergeCell ref="AS11:AS12"/>
    <mergeCell ref="AT11:AT12"/>
    <mergeCell ref="AO11:AO12"/>
    <mergeCell ref="AP11:AP12"/>
    <mergeCell ref="AQ11:AQ12"/>
    <mergeCell ref="AL11:AL12"/>
    <mergeCell ref="AQ13:AQ14"/>
    <mergeCell ref="AR13:AR14"/>
    <mergeCell ref="AS13:AS14"/>
    <mergeCell ref="AT13:AT14"/>
    <mergeCell ref="A15:A18"/>
    <mergeCell ref="B15:B16"/>
    <mergeCell ref="C15:C16"/>
    <mergeCell ref="D15:D16"/>
    <mergeCell ref="E15:E16"/>
    <mergeCell ref="AS15:AS16"/>
    <mergeCell ref="AL13:AL14"/>
    <mergeCell ref="AM13:AM14"/>
    <mergeCell ref="AN13:AN14"/>
    <mergeCell ref="AO13:AO14"/>
    <mergeCell ref="AP13:AP14"/>
    <mergeCell ref="I13:I14"/>
    <mergeCell ref="J13:J14"/>
    <mergeCell ref="K13:K14"/>
    <mergeCell ref="L13:L14"/>
    <mergeCell ref="N13:N14"/>
    <mergeCell ref="AG13:AG14"/>
    <mergeCell ref="B13:B14"/>
    <mergeCell ref="C13:C14"/>
    <mergeCell ref="D13:D14"/>
    <mergeCell ref="H24:H27"/>
    <mergeCell ref="I24:I27"/>
    <mergeCell ref="J24:J27"/>
    <mergeCell ref="K24:K27"/>
    <mergeCell ref="A20:A21"/>
    <mergeCell ref="A24:A27"/>
    <mergeCell ref="B24:B27"/>
    <mergeCell ref="C24:C27"/>
    <mergeCell ref="D24:D27"/>
    <mergeCell ref="E13:E14"/>
    <mergeCell ref="F13:F14"/>
    <mergeCell ref="G13:G14"/>
    <mergeCell ref="H13:H14"/>
    <mergeCell ref="AT24:AT27"/>
    <mergeCell ref="A28:A33"/>
    <mergeCell ref="H28:H30"/>
    <mergeCell ref="B29:B30"/>
    <mergeCell ref="C29:C30"/>
    <mergeCell ref="D29:D30"/>
    <mergeCell ref="E29:E30"/>
    <mergeCell ref="F29:F30"/>
    <mergeCell ref="G29:G30"/>
    <mergeCell ref="I29:I30"/>
    <mergeCell ref="AO24:AO27"/>
    <mergeCell ref="AP24:AP27"/>
    <mergeCell ref="AQ24:AQ27"/>
    <mergeCell ref="AR24:AR27"/>
    <mergeCell ref="AS24:AS27"/>
    <mergeCell ref="L24:L27"/>
    <mergeCell ref="N24:N27"/>
    <mergeCell ref="AG24:AG27"/>
    <mergeCell ref="AL24:AL27"/>
    <mergeCell ref="AM24:AM27"/>
    <mergeCell ref="AN24:AN27"/>
    <mergeCell ref="E24:E27"/>
    <mergeCell ref="G24:G27"/>
    <mergeCell ref="AT29:AT30"/>
    <mergeCell ref="AS31:AS33"/>
    <mergeCell ref="B32:B33"/>
    <mergeCell ref="C32:C33"/>
    <mergeCell ref="D32:D33"/>
    <mergeCell ref="E32:E33"/>
    <mergeCell ref="F32:F33"/>
    <mergeCell ref="G32:G33"/>
    <mergeCell ref="H32:H33"/>
    <mergeCell ref="I32:I33"/>
    <mergeCell ref="AO29:AO30"/>
    <mergeCell ref="AP29:AP30"/>
    <mergeCell ref="AQ29:AQ30"/>
    <mergeCell ref="AR29:AR30"/>
    <mergeCell ref="AS29:AS30"/>
    <mergeCell ref="J29:J30"/>
    <mergeCell ref="K29:K30"/>
    <mergeCell ref="L29:L30"/>
    <mergeCell ref="AL29:AL30"/>
    <mergeCell ref="AM29:AM30"/>
    <mergeCell ref="AN29:AN30"/>
    <mergeCell ref="AN32:AN33"/>
    <mergeCell ref="AT32:AT33"/>
    <mergeCell ref="A34:A35"/>
    <mergeCell ref="B34:B35"/>
    <mergeCell ref="C34:C35"/>
    <mergeCell ref="D34:D35"/>
    <mergeCell ref="E34:E35"/>
    <mergeCell ref="F34:F35"/>
    <mergeCell ref="G34:G35"/>
    <mergeCell ref="J32:J33"/>
    <mergeCell ref="K32:K33"/>
    <mergeCell ref="L32:L33"/>
    <mergeCell ref="AG32:AG33"/>
    <mergeCell ref="AL32:AL33"/>
    <mergeCell ref="AM32:AM33"/>
    <mergeCell ref="AT34:AT35"/>
    <mergeCell ref="AO34:AO35"/>
    <mergeCell ref="AP34:AP35"/>
    <mergeCell ref="AQ34:AQ35"/>
    <mergeCell ref="AS34:AS35"/>
    <mergeCell ref="AE34:AE35"/>
    <mergeCell ref="T34:T35"/>
    <mergeCell ref="U34:U35"/>
    <mergeCell ref="V34:V35"/>
    <mergeCell ref="A36:A37"/>
    <mergeCell ref="B36:B37"/>
    <mergeCell ref="C36:C37"/>
    <mergeCell ref="D36:D37"/>
    <mergeCell ref="E36:E37"/>
    <mergeCell ref="F36:F37"/>
    <mergeCell ref="AL34:AL35"/>
    <mergeCell ref="AM34:AM35"/>
    <mergeCell ref="AN34:AN35"/>
    <mergeCell ref="AF34:AF35"/>
    <mergeCell ref="AG34:AG35"/>
    <mergeCell ref="AH34:AH35"/>
    <mergeCell ref="AI34:AI35"/>
    <mergeCell ref="AJ34:AJ35"/>
    <mergeCell ref="AK34:AK35"/>
    <mergeCell ref="Z34:Z35"/>
    <mergeCell ref="AA34:AA35"/>
    <mergeCell ref="AB34:AB35"/>
    <mergeCell ref="AC34:AC35"/>
    <mergeCell ref="AD34:AD35"/>
    <mergeCell ref="G36:G37"/>
    <mergeCell ref="H36:H37"/>
    <mergeCell ref="I36:I37"/>
    <mergeCell ref="J36:J37"/>
    <mergeCell ref="W34:W35"/>
    <mergeCell ref="X34:X35"/>
    <mergeCell ref="Y34:Y35"/>
    <mergeCell ref="K34:K35"/>
    <mergeCell ref="S36:S37"/>
    <mergeCell ref="AS36:AS37"/>
    <mergeCell ref="AR34:AR35"/>
    <mergeCell ref="H34:H35"/>
    <mergeCell ref="I34:I35"/>
    <mergeCell ref="L34:L35"/>
    <mergeCell ref="M34:M35"/>
    <mergeCell ref="T36:T37"/>
    <mergeCell ref="U36:U37"/>
    <mergeCell ref="V36:V37"/>
    <mergeCell ref="W36:W37"/>
    <mergeCell ref="X36:X37"/>
    <mergeCell ref="M36:M37"/>
    <mergeCell ref="N36:N37"/>
    <mergeCell ref="O36:O37"/>
    <mergeCell ref="P36:P37"/>
    <mergeCell ref="Q36:Q37"/>
    <mergeCell ref="R36:R37"/>
    <mergeCell ref="K36:K37"/>
    <mergeCell ref="L36:L37"/>
    <mergeCell ref="AA36:AA37"/>
    <mergeCell ref="AB36:AB37"/>
    <mergeCell ref="AC36:AC37"/>
    <mergeCell ref="AD36:AD37"/>
    <mergeCell ref="AP36:AP37"/>
    <mergeCell ref="AQ36:AQ37"/>
    <mergeCell ref="AR36:AR37"/>
    <mergeCell ref="AE36:AE37"/>
    <mergeCell ref="AF36:AF37"/>
    <mergeCell ref="AG36:AG37"/>
    <mergeCell ref="AH36:AH37"/>
    <mergeCell ref="AI36:AI37"/>
    <mergeCell ref="AJ36:AJ37"/>
    <mergeCell ref="AU24:AU27"/>
    <mergeCell ref="AV24:AV27"/>
    <mergeCell ref="AU1:AV1"/>
    <mergeCell ref="A1:AT1"/>
    <mergeCell ref="AW1:AW2"/>
    <mergeCell ref="N34:N35"/>
    <mergeCell ref="O34:O35"/>
    <mergeCell ref="P34:P35"/>
    <mergeCell ref="Q34:Q35"/>
    <mergeCell ref="R34:R35"/>
    <mergeCell ref="S34:S35"/>
    <mergeCell ref="J34:J35"/>
    <mergeCell ref="AT36:AT37"/>
    <mergeCell ref="AK36:AK37"/>
    <mergeCell ref="AL36:AL37"/>
    <mergeCell ref="AM36:AM37"/>
    <mergeCell ref="AN36:AN37"/>
    <mergeCell ref="AO36:AO37"/>
    <mergeCell ref="Y36:Y37"/>
    <mergeCell ref="Z36:Z37"/>
  </mergeCells>
  <conditionalFormatting sqref="L3:N3 M4">
    <cfRule type="containsText" dxfId="198" priority="199" operator="containsText" text="Bajo">
      <formula>NOT(ISERROR(SEARCH("Bajo",L3)))</formula>
    </cfRule>
    <cfRule type="containsText" dxfId="197" priority="200" operator="containsText" text="Moderado">
      <formula>NOT(ISERROR(SEARCH("Moderado",L3)))</formula>
    </cfRule>
    <cfRule type="containsText" dxfId="196" priority="201" operator="containsText" text="Alto">
      <formula>NOT(ISERROR(SEARCH("Alto",L3)))</formula>
    </cfRule>
    <cfRule type="containsText" dxfId="195" priority="202" operator="containsText" text="Extremo">
      <formula>NOT(ISERROR(SEARCH("Extremo",L3)))</formula>
    </cfRule>
  </conditionalFormatting>
  <conditionalFormatting sqref="AN3">
    <cfRule type="containsText" dxfId="194" priority="195" operator="containsText" text="Alto">
      <formula>NOT(ISERROR(SEARCH("Alto",AN3)))</formula>
    </cfRule>
    <cfRule type="containsText" dxfId="193" priority="196" operator="containsText" text="Moderado">
      <formula>NOT(ISERROR(SEARCH("Moderado",AN3)))</formula>
    </cfRule>
    <cfRule type="containsText" dxfId="192" priority="197" operator="containsText" text="Bajo">
      <formula>NOT(ISERROR(SEARCH("Bajo",AN3)))</formula>
    </cfRule>
    <cfRule type="containsText" dxfId="191" priority="198" operator="containsText" text="Extremo">
      <formula>NOT(ISERROR(SEARCH("Extremo",AN3)))</formula>
    </cfRule>
  </conditionalFormatting>
  <conditionalFormatting sqref="M5">
    <cfRule type="containsText" dxfId="190" priority="191" operator="containsText" text="Bajo">
      <formula>NOT(ISERROR(SEARCH("Bajo",M5)))</formula>
    </cfRule>
    <cfRule type="containsText" dxfId="189" priority="192" operator="containsText" text="Moderado">
      <formula>NOT(ISERROR(SEARCH("Moderado",M5)))</formula>
    </cfRule>
    <cfRule type="containsText" dxfId="188" priority="193" operator="containsText" text="Alto">
      <formula>NOT(ISERROR(SEARCH("Alto",M5)))</formula>
    </cfRule>
    <cfRule type="containsText" dxfId="187" priority="194" operator="containsText" text="Extremo">
      <formula>NOT(ISERROR(SEARCH("Extremo",M5)))</formula>
    </cfRule>
  </conditionalFormatting>
  <conditionalFormatting sqref="K3">
    <cfRule type="containsText" dxfId="186" priority="190" operator="containsText" text="❌">
      <formula>NOT(ISERROR(SEARCH(("❌"),(K3))))</formula>
    </cfRule>
  </conditionalFormatting>
  <conditionalFormatting sqref="L6:L7 AN6:AN7">
    <cfRule type="containsText" dxfId="185" priority="186" operator="containsText" text="bajo">
      <formula>NOT(ISERROR(SEARCH("bajo",L6)))</formula>
    </cfRule>
    <cfRule type="containsText" dxfId="184" priority="187" operator="containsText" text="moderado">
      <formula>NOT(ISERROR(SEARCH("moderado",L6)))</formula>
    </cfRule>
    <cfRule type="containsText" dxfId="183" priority="188" operator="containsText" text="alto">
      <formula>NOT(ISERROR(SEARCH("alto",L6)))</formula>
    </cfRule>
    <cfRule type="containsText" dxfId="182" priority="189" operator="containsText" text="extremo">
      <formula>NOT(ISERROR(SEARCH("extremo",L6)))</formula>
    </cfRule>
  </conditionalFormatting>
  <conditionalFormatting sqref="K6">
    <cfRule type="containsText" dxfId="181" priority="185" operator="containsText" text="❌">
      <formula>NOT(ISERROR(SEARCH(("❌"),(K6))))</formula>
    </cfRule>
  </conditionalFormatting>
  <conditionalFormatting sqref="K7">
    <cfRule type="containsText" dxfId="180" priority="184" operator="containsText" text="❌">
      <formula>NOT(ISERROR(SEARCH(("❌"),(K7))))</formula>
    </cfRule>
  </conditionalFormatting>
  <conditionalFormatting sqref="L8:N8">
    <cfRule type="containsText" dxfId="179" priority="180" operator="containsText" text="Bajo">
      <formula>NOT(ISERROR(SEARCH("Bajo",L8)))</formula>
    </cfRule>
    <cfRule type="containsText" dxfId="178" priority="181" operator="containsText" text="Moderado">
      <formula>NOT(ISERROR(SEARCH("Moderado",L8)))</formula>
    </cfRule>
    <cfRule type="containsText" dxfId="177" priority="182" operator="containsText" text="Alto">
      <formula>NOT(ISERROR(SEARCH("Alto",L8)))</formula>
    </cfRule>
    <cfRule type="containsText" dxfId="176" priority="183" operator="containsText" text="Extremo">
      <formula>NOT(ISERROR(SEARCH("Extremo",L8)))</formula>
    </cfRule>
  </conditionalFormatting>
  <conditionalFormatting sqref="AN8">
    <cfRule type="containsText" dxfId="175" priority="176" operator="containsText" text="Alto">
      <formula>NOT(ISERROR(SEARCH("Alto",AN8)))</formula>
    </cfRule>
    <cfRule type="containsText" dxfId="174" priority="177" operator="containsText" text="Moderado">
      <formula>NOT(ISERROR(SEARCH("Moderado",AN8)))</formula>
    </cfRule>
    <cfRule type="containsText" dxfId="173" priority="178" operator="containsText" text="Bajo">
      <formula>NOT(ISERROR(SEARCH("Bajo",AN8)))</formula>
    </cfRule>
    <cfRule type="containsText" dxfId="172" priority="179" operator="containsText" text="Extremo">
      <formula>NOT(ISERROR(SEARCH("Extremo",AN8)))</formula>
    </cfRule>
  </conditionalFormatting>
  <conditionalFormatting sqref="K8">
    <cfRule type="containsText" dxfId="171" priority="175" operator="containsText" text="❌">
      <formula>NOT(ISERROR(SEARCH(("❌"),(K8))))</formula>
    </cfRule>
  </conditionalFormatting>
  <conditionalFormatting sqref="M10 L11:N11 L9:N9">
    <cfRule type="containsText" dxfId="170" priority="171" operator="containsText" text="Bajo">
      <formula>NOT(ISERROR(SEARCH("Bajo",L9)))</formula>
    </cfRule>
    <cfRule type="containsText" dxfId="169" priority="172" operator="containsText" text="Moderado">
      <formula>NOT(ISERROR(SEARCH("Moderado",L9)))</formula>
    </cfRule>
    <cfRule type="containsText" dxfId="168" priority="173" operator="containsText" text="Alto">
      <formula>NOT(ISERROR(SEARCH("Alto",L9)))</formula>
    </cfRule>
    <cfRule type="containsText" dxfId="167" priority="174" operator="containsText" text="Extremo">
      <formula>NOT(ISERROR(SEARCH("Extremo",L9)))</formula>
    </cfRule>
  </conditionalFormatting>
  <conditionalFormatting sqref="AN9">
    <cfRule type="containsText" dxfId="166" priority="167" operator="containsText" text="Alto">
      <formula>NOT(ISERROR(SEARCH("Alto",AN9)))</formula>
    </cfRule>
    <cfRule type="containsText" dxfId="165" priority="168" operator="containsText" text="Moderado">
      <formula>NOT(ISERROR(SEARCH("Moderado",AN9)))</formula>
    </cfRule>
    <cfRule type="containsText" dxfId="164" priority="169" operator="containsText" text="Bajo">
      <formula>NOT(ISERROR(SEARCH("Bajo",AN9)))</formula>
    </cfRule>
    <cfRule type="containsText" dxfId="163" priority="170" operator="containsText" text="Extremo">
      <formula>NOT(ISERROR(SEARCH("Extremo",AN9)))</formula>
    </cfRule>
  </conditionalFormatting>
  <conditionalFormatting sqref="L13">
    <cfRule type="containsText" dxfId="162" priority="163" operator="containsText" text="Bajo">
      <formula>NOT(ISERROR(SEARCH("Bajo",L13)))</formula>
    </cfRule>
    <cfRule type="containsText" dxfId="161" priority="164" operator="containsText" text="Moderado">
      <formula>NOT(ISERROR(SEARCH("Moderado",L13)))</formula>
    </cfRule>
    <cfRule type="containsText" dxfId="160" priority="165" operator="containsText" text="Alto">
      <formula>NOT(ISERROR(SEARCH("Alto",L13)))</formula>
    </cfRule>
    <cfRule type="containsText" dxfId="159" priority="166" operator="containsText" text="Extremo">
      <formula>NOT(ISERROR(SEARCH("Extremo",L13)))</formula>
    </cfRule>
  </conditionalFormatting>
  <conditionalFormatting sqref="AN11">
    <cfRule type="containsText" dxfId="158" priority="159" operator="containsText" text="Alto">
      <formula>NOT(ISERROR(SEARCH("Alto",AN11)))</formula>
    </cfRule>
    <cfRule type="containsText" dxfId="157" priority="160" operator="containsText" text="Moderado">
      <formula>NOT(ISERROR(SEARCH("Moderado",AN11)))</formula>
    </cfRule>
    <cfRule type="containsText" dxfId="156" priority="161" operator="containsText" text="Bajo">
      <formula>NOT(ISERROR(SEARCH("Bajo",AN11)))</formula>
    </cfRule>
    <cfRule type="containsText" dxfId="155" priority="162" operator="containsText" text="Extremo">
      <formula>NOT(ISERROR(SEARCH("Extremo",AN11)))</formula>
    </cfRule>
  </conditionalFormatting>
  <conditionalFormatting sqref="AN13">
    <cfRule type="containsText" dxfId="154" priority="155" operator="containsText" text="Alto">
      <formula>NOT(ISERROR(SEARCH("Alto",AN13)))</formula>
    </cfRule>
    <cfRule type="containsText" dxfId="153" priority="156" operator="containsText" text="Moderado">
      <formula>NOT(ISERROR(SEARCH("Moderado",AN13)))</formula>
    </cfRule>
    <cfRule type="containsText" dxfId="152" priority="157" operator="containsText" text="Bajo">
      <formula>NOT(ISERROR(SEARCH("Bajo",AN13)))</formula>
    </cfRule>
    <cfRule type="containsText" dxfId="151" priority="158" operator="containsText" text="Extremo">
      <formula>NOT(ISERROR(SEARCH("Extremo",AN13)))</formula>
    </cfRule>
  </conditionalFormatting>
  <conditionalFormatting sqref="K9">
    <cfRule type="containsText" dxfId="150" priority="154" operator="containsText" text="❌">
      <formula>NOT(ISERROR(SEARCH(("❌"),(K9))))</formula>
    </cfRule>
  </conditionalFormatting>
  <conditionalFormatting sqref="K11">
    <cfRule type="containsText" dxfId="149" priority="153" operator="containsText" text="❌">
      <formula>NOT(ISERROR(SEARCH(("❌"),(K11))))</formula>
    </cfRule>
  </conditionalFormatting>
  <conditionalFormatting sqref="K13">
    <cfRule type="containsText" dxfId="148" priority="152" operator="containsText" text="❌">
      <formula>NOT(ISERROR(SEARCH(("❌"),(K13))))</formula>
    </cfRule>
  </conditionalFormatting>
  <conditionalFormatting sqref="L15">
    <cfRule type="containsText" dxfId="147" priority="144" operator="containsText" text="Bajo">
      <formula>NOT(ISERROR(SEARCH(("Bajo"),(L15))))</formula>
    </cfRule>
  </conditionalFormatting>
  <conditionalFormatting sqref="L15">
    <cfRule type="containsText" dxfId="146" priority="145" operator="containsText" text="Moderado">
      <formula>NOT(ISERROR(SEARCH(("Moderado"),(L15))))</formula>
    </cfRule>
  </conditionalFormatting>
  <conditionalFormatting sqref="L15">
    <cfRule type="containsText" dxfId="145" priority="146" operator="containsText" text="Alto">
      <formula>NOT(ISERROR(SEARCH(("Alto"),(L15))))</formula>
    </cfRule>
  </conditionalFormatting>
  <conditionalFormatting sqref="L15">
    <cfRule type="containsText" dxfId="144" priority="147" operator="containsText" text="Extremo">
      <formula>NOT(ISERROR(SEARCH(("Extremo"),(L15))))</formula>
    </cfRule>
  </conditionalFormatting>
  <conditionalFormatting sqref="AN15:AN16">
    <cfRule type="containsText" dxfId="143" priority="148" operator="containsText" text="Alto">
      <formula>NOT(ISERROR(SEARCH(("Alto"),(AN15))))</formula>
    </cfRule>
  </conditionalFormatting>
  <conditionalFormatting sqref="AN15:AN16">
    <cfRule type="containsText" dxfId="142" priority="149" operator="containsText" text="Moderado">
      <formula>NOT(ISERROR(SEARCH(("Moderado"),(AN15))))</formula>
    </cfRule>
  </conditionalFormatting>
  <conditionalFormatting sqref="AN15:AN16">
    <cfRule type="containsText" dxfId="141" priority="150" operator="containsText" text="Bajo">
      <formula>NOT(ISERROR(SEARCH(("Bajo"),(AN15))))</formula>
    </cfRule>
  </conditionalFormatting>
  <conditionalFormatting sqref="AN15:AN16">
    <cfRule type="containsText" dxfId="140" priority="151" operator="containsText" text="Extremo">
      <formula>NOT(ISERROR(SEARCH(("Extremo"),(AN15))))</formula>
    </cfRule>
  </conditionalFormatting>
  <conditionalFormatting sqref="L18">
    <cfRule type="containsText" dxfId="139" priority="136" operator="containsText" text="Bajo">
      <formula>NOT(ISERROR(SEARCH(("Bajo"),(L18))))</formula>
    </cfRule>
  </conditionalFormatting>
  <conditionalFormatting sqref="L18">
    <cfRule type="containsText" dxfId="138" priority="137" operator="containsText" text="Moderado">
      <formula>NOT(ISERROR(SEARCH(("Moderado"),(L18))))</formula>
    </cfRule>
  </conditionalFormatting>
  <conditionalFormatting sqref="L18">
    <cfRule type="containsText" dxfId="137" priority="138" operator="containsText" text="Alto">
      <formula>NOT(ISERROR(SEARCH(("Alto"),(L18))))</formula>
    </cfRule>
  </conditionalFormatting>
  <conditionalFormatting sqref="L18">
    <cfRule type="containsText" dxfId="136" priority="139" operator="containsText" text="Extremo">
      <formula>NOT(ISERROR(SEARCH(("Extremo"),(L18))))</formula>
    </cfRule>
  </conditionalFormatting>
  <conditionalFormatting sqref="AN18">
    <cfRule type="containsText" dxfId="135" priority="140" operator="containsText" text="Alto">
      <formula>NOT(ISERROR(SEARCH(("Alto"),(AN18))))</formula>
    </cfRule>
  </conditionalFormatting>
  <conditionalFormatting sqref="AN18">
    <cfRule type="containsText" dxfId="134" priority="141" operator="containsText" text="Moderado">
      <formula>NOT(ISERROR(SEARCH(("Moderado"),(AN18))))</formula>
    </cfRule>
  </conditionalFormatting>
  <conditionalFormatting sqref="AN18">
    <cfRule type="containsText" dxfId="133" priority="142" operator="containsText" text="Bajo">
      <formula>NOT(ISERROR(SEARCH(("Bajo"),(AN18))))</formula>
    </cfRule>
  </conditionalFormatting>
  <conditionalFormatting sqref="AN18">
    <cfRule type="containsText" dxfId="132" priority="143" operator="containsText" text="Extremo">
      <formula>NOT(ISERROR(SEARCH(("Extremo"),(AN18))))</formula>
    </cfRule>
  </conditionalFormatting>
  <conditionalFormatting sqref="K15:K16">
    <cfRule type="containsText" dxfId="131" priority="135" operator="containsText" text="❌">
      <formula>NOT(ISERROR(SEARCH(("❌"),(K15))))</formula>
    </cfRule>
  </conditionalFormatting>
  <conditionalFormatting sqref="K18">
    <cfRule type="containsText" dxfId="130" priority="134" operator="containsText" text="❌">
      <formula>NOT(ISERROR(SEARCH(("❌"),(K18))))</formula>
    </cfRule>
  </conditionalFormatting>
  <conditionalFormatting sqref="N19">
    <cfRule type="containsText" dxfId="129" priority="130" operator="containsText" text="Bajo">
      <formula>NOT(ISERROR(SEARCH("Bajo",N19)))</formula>
    </cfRule>
    <cfRule type="containsText" dxfId="128" priority="131" operator="containsText" text="Moderado">
      <formula>NOT(ISERROR(SEARCH("Moderado",N19)))</formula>
    </cfRule>
    <cfRule type="containsText" dxfId="127" priority="132" operator="containsText" text="Alto">
      <formula>NOT(ISERROR(SEARCH("Alto",N19)))</formula>
    </cfRule>
    <cfRule type="containsText" dxfId="126" priority="133" operator="containsText" text="Extremo">
      <formula>NOT(ISERROR(SEARCH("Extremo",N19)))</formula>
    </cfRule>
  </conditionalFormatting>
  <conditionalFormatting sqref="O19">
    <cfRule type="containsText" dxfId="125" priority="126" operator="containsText" text="Bajo">
      <formula>NOT(ISERROR(SEARCH("Bajo",O19)))</formula>
    </cfRule>
    <cfRule type="containsText" dxfId="124" priority="127" operator="containsText" text="Moderado">
      <formula>NOT(ISERROR(SEARCH("Moderado",O19)))</formula>
    </cfRule>
    <cfRule type="containsText" dxfId="123" priority="128" operator="containsText" text="Alto">
      <formula>NOT(ISERROR(SEARCH("Alto",O19)))</formula>
    </cfRule>
    <cfRule type="containsText" dxfId="122" priority="129" operator="containsText" text="Extremo">
      <formula>NOT(ISERROR(SEARCH("Extremo",O19)))</formula>
    </cfRule>
  </conditionalFormatting>
  <conditionalFormatting sqref="E19:F19">
    <cfRule type="containsText" dxfId="121" priority="122" operator="containsText" text="Bajo">
      <formula>NOT(ISERROR(SEARCH("Bajo",E19)))</formula>
    </cfRule>
    <cfRule type="containsText" dxfId="120" priority="123" operator="containsText" text="Moderado">
      <formula>NOT(ISERROR(SEARCH("Moderado",E19)))</formula>
    </cfRule>
    <cfRule type="containsText" dxfId="119" priority="124" operator="containsText" text="Alto">
      <formula>NOT(ISERROR(SEARCH("Alto",E19)))</formula>
    </cfRule>
    <cfRule type="containsText" dxfId="118" priority="125" operator="containsText" text="Extremo">
      <formula>NOT(ISERROR(SEARCH("Extremo",E19)))</formula>
    </cfRule>
  </conditionalFormatting>
  <conditionalFormatting sqref="H19:J19">
    <cfRule type="containsText" dxfId="117" priority="118" operator="containsText" text="Bajo">
      <formula>NOT(ISERROR(SEARCH("Bajo",H19)))</formula>
    </cfRule>
    <cfRule type="containsText" dxfId="116" priority="119" operator="containsText" text="Moderado">
      <formula>NOT(ISERROR(SEARCH("Moderado",H19)))</formula>
    </cfRule>
    <cfRule type="containsText" dxfId="115" priority="120" operator="containsText" text="Alto">
      <formula>NOT(ISERROR(SEARCH("Alto",H19)))</formula>
    </cfRule>
    <cfRule type="containsText" dxfId="114" priority="121" operator="containsText" text="Extremo">
      <formula>NOT(ISERROR(SEARCH("Extremo",H19)))</formula>
    </cfRule>
  </conditionalFormatting>
  <conditionalFormatting sqref="L19">
    <cfRule type="containsText" dxfId="113" priority="114" operator="containsText" text="Bajo">
      <formula>NOT(ISERROR(SEARCH("Bajo",L19)))</formula>
    </cfRule>
    <cfRule type="containsText" dxfId="112" priority="115" operator="containsText" text="Moderado">
      <formula>NOT(ISERROR(SEARCH("Moderado",L19)))</formula>
    </cfRule>
    <cfRule type="containsText" dxfId="111" priority="116" operator="containsText" text="Alto">
      <formula>NOT(ISERROR(SEARCH("Alto",L19)))</formula>
    </cfRule>
    <cfRule type="containsText" dxfId="110" priority="117" operator="containsText" text="Extremo">
      <formula>NOT(ISERROR(SEARCH("Extremo",L19)))</formula>
    </cfRule>
  </conditionalFormatting>
  <conditionalFormatting sqref="M19">
    <cfRule type="containsText" dxfId="109" priority="110" operator="containsText" text="Bajo">
      <formula>NOT(ISERROR(SEARCH("Bajo",M19)))</formula>
    </cfRule>
    <cfRule type="containsText" dxfId="108" priority="111" operator="containsText" text="Moderado">
      <formula>NOT(ISERROR(SEARCH("Moderado",M19)))</formula>
    </cfRule>
    <cfRule type="containsText" dxfId="107" priority="112" operator="containsText" text="Alto">
      <formula>NOT(ISERROR(SEARCH("Alto",M19)))</formula>
    </cfRule>
    <cfRule type="containsText" dxfId="106" priority="113" operator="containsText" text="Extremo">
      <formula>NOT(ISERROR(SEARCH("Extremo",M19)))</formula>
    </cfRule>
  </conditionalFormatting>
  <conditionalFormatting sqref="K19">
    <cfRule type="containsText" dxfId="105" priority="109" operator="containsText" text="❌">
      <formula>NOT(ISERROR(SEARCH(("❌"),(K19))))</formula>
    </cfRule>
  </conditionalFormatting>
  <conditionalFormatting sqref="L20:N20">
    <cfRule type="containsText" dxfId="104" priority="105" operator="containsText" text="Bajo">
      <formula>NOT(ISERROR(SEARCH("Bajo",L20)))</formula>
    </cfRule>
    <cfRule type="containsText" dxfId="103" priority="106" operator="containsText" text="Moderado">
      <formula>NOT(ISERROR(SEARCH("Moderado",L20)))</formula>
    </cfRule>
    <cfRule type="containsText" dxfId="102" priority="107" operator="containsText" text="Alto">
      <formula>NOT(ISERROR(SEARCH("Alto",L20)))</formula>
    </cfRule>
    <cfRule type="containsText" dxfId="101" priority="108" operator="containsText" text="Extremo">
      <formula>NOT(ISERROR(SEARCH("Extremo",L20)))</formula>
    </cfRule>
  </conditionalFormatting>
  <conditionalFormatting sqref="AN20">
    <cfRule type="containsText" dxfId="100" priority="101" operator="containsText" text="Alto">
      <formula>NOT(ISERROR(SEARCH("Alto",AN20)))</formula>
    </cfRule>
    <cfRule type="containsText" dxfId="99" priority="102" operator="containsText" text="Moderado">
      <formula>NOT(ISERROR(SEARCH("Moderado",AN20)))</formula>
    </cfRule>
    <cfRule type="containsText" dxfId="98" priority="103" operator="containsText" text="Bajo">
      <formula>NOT(ISERROR(SEARCH("Bajo",AN20)))</formula>
    </cfRule>
    <cfRule type="containsText" dxfId="97" priority="104" operator="containsText" text="Extremo">
      <formula>NOT(ISERROR(SEARCH("Extremo",AN20)))</formula>
    </cfRule>
  </conditionalFormatting>
  <conditionalFormatting sqref="L21">
    <cfRule type="containsText" dxfId="96" priority="97" operator="containsText" text="Bajo">
      <formula>NOT(ISERROR(SEARCH("Bajo",L21)))</formula>
    </cfRule>
    <cfRule type="containsText" dxfId="95" priority="98" operator="containsText" text="Moderado">
      <formula>NOT(ISERROR(SEARCH("Moderado",L21)))</formula>
    </cfRule>
    <cfRule type="containsText" dxfId="94" priority="99" operator="containsText" text="Alto">
      <formula>NOT(ISERROR(SEARCH("Alto",L21)))</formula>
    </cfRule>
    <cfRule type="containsText" dxfId="93" priority="100" operator="containsText" text="Extremo">
      <formula>NOT(ISERROR(SEARCH("Extremo",L21)))</formula>
    </cfRule>
  </conditionalFormatting>
  <conditionalFormatting sqref="M21">
    <cfRule type="containsText" dxfId="92" priority="93" operator="containsText" text="Bajo">
      <formula>NOT(ISERROR(SEARCH("Bajo",M21)))</formula>
    </cfRule>
    <cfRule type="containsText" dxfId="91" priority="94" operator="containsText" text="Moderado">
      <formula>NOT(ISERROR(SEARCH("Moderado",M21)))</formula>
    </cfRule>
    <cfRule type="containsText" dxfId="90" priority="95" operator="containsText" text="Alto">
      <formula>NOT(ISERROR(SEARCH("Alto",M21)))</formula>
    </cfRule>
    <cfRule type="containsText" dxfId="89" priority="96" operator="containsText" text="Extremo">
      <formula>NOT(ISERROR(SEARCH("Extremo",M21)))</formula>
    </cfRule>
  </conditionalFormatting>
  <conditionalFormatting sqref="N21">
    <cfRule type="containsText" dxfId="88" priority="89" operator="containsText" text="Bajo">
      <formula>NOT(ISERROR(SEARCH("Bajo",N21)))</formula>
    </cfRule>
    <cfRule type="containsText" dxfId="87" priority="90" operator="containsText" text="Moderado">
      <formula>NOT(ISERROR(SEARCH("Moderado",N21)))</formula>
    </cfRule>
    <cfRule type="containsText" dxfId="86" priority="91" operator="containsText" text="Alto">
      <formula>NOT(ISERROR(SEARCH("Alto",N21)))</formula>
    </cfRule>
    <cfRule type="containsText" dxfId="85" priority="92" operator="containsText" text="Extremo">
      <formula>NOT(ISERROR(SEARCH("Extremo",N21)))</formula>
    </cfRule>
  </conditionalFormatting>
  <conditionalFormatting sqref="AN21">
    <cfRule type="containsText" dxfId="84" priority="85" operator="containsText" text="Alto">
      <formula>NOT(ISERROR(SEARCH("Alto",AN21)))</formula>
    </cfRule>
    <cfRule type="containsText" dxfId="83" priority="86" operator="containsText" text="Moderado">
      <formula>NOT(ISERROR(SEARCH("Moderado",AN21)))</formula>
    </cfRule>
    <cfRule type="containsText" dxfId="82" priority="87" operator="containsText" text="Bajo">
      <formula>NOT(ISERROR(SEARCH("Bajo",AN21)))</formula>
    </cfRule>
    <cfRule type="containsText" dxfId="81" priority="88" operator="containsText" text="Extremo">
      <formula>NOT(ISERROR(SEARCH("Extremo",AN21)))</formula>
    </cfRule>
  </conditionalFormatting>
  <conditionalFormatting sqref="O21">
    <cfRule type="containsText" dxfId="80" priority="81" operator="containsText" text="Bajo">
      <formula>NOT(ISERROR(SEARCH("Bajo",O21)))</formula>
    </cfRule>
    <cfRule type="containsText" dxfId="79" priority="82" operator="containsText" text="Moderado">
      <formula>NOT(ISERROR(SEARCH("Moderado",O21)))</formula>
    </cfRule>
    <cfRule type="containsText" dxfId="78" priority="83" operator="containsText" text="Alto">
      <formula>NOT(ISERROR(SEARCH("Alto",O21)))</formula>
    </cfRule>
    <cfRule type="containsText" dxfId="77" priority="84" operator="containsText" text="Extremo">
      <formula>NOT(ISERROR(SEARCH("Extremo",O21)))</formula>
    </cfRule>
  </conditionalFormatting>
  <conditionalFormatting sqref="K20:K21">
    <cfRule type="containsText" dxfId="76" priority="80" operator="containsText" text="❌">
      <formula>NOT(ISERROR(SEARCH(("❌"),(K20))))</formula>
    </cfRule>
  </conditionalFormatting>
  <conditionalFormatting sqref="J3">
    <cfRule type="containsText" dxfId="75" priority="76" operator="containsText" text="Bajo">
      <formula>NOT(ISERROR(SEARCH("Bajo",J3)))</formula>
    </cfRule>
    <cfRule type="containsText" dxfId="74" priority="77" operator="containsText" text="Moderado">
      <formula>NOT(ISERROR(SEARCH("Moderado",J3)))</formula>
    </cfRule>
    <cfRule type="containsText" dxfId="73" priority="78" operator="containsText" text="Alto">
      <formula>NOT(ISERROR(SEARCH("Alto",J3)))</formula>
    </cfRule>
    <cfRule type="containsText" dxfId="72" priority="79" operator="containsText" text="Extremo">
      <formula>NOT(ISERROR(SEARCH("Extremo",J3)))</formula>
    </cfRule>
  </conditionalFormatting>
  <conditionalFormatting sqref="J6:J7">
    <cfRule type="containsText" dxfId="71" priority="72" operator="containsText" text="bajo">
      <formula>NOT(ISERROR(SEARCH("bajo",J6)))</formula>
    </cfRule>
    <cfRule type="containsText" dxfId="70" priority="73" operator="containsText" text="moderado">
      <formula>NOT(ISERROR(SEARCH("moderado",J6)))</formula>
    </cfRule>
    <cfRule type="containsText" dxfId="69" priority="74" operator="containsText" text="alto">
      <formula>NOT(ISERROR(SEARCH("alto",J6)))</formula>
    </cfRule>
    <cfRule type="containsText" dxfId="68" priority="75" operator="containsText" text="extremo">
      <formula>NOT(ISERROR(SEARCH("extremo",J6)))</formula>
    </cfRule>
  </conditionalFormatting>
  <conditionalFormatting sqref="J8">
    <cfRule type="containsText" dxfId="67" priority="68" operator="containsText" text="Bajo">
      <formula>NOT(ISERROR(SEARCH("Bajo",J8)))</formula>
    </cfRule>
    <cfRule type="containsText" dxfId="66" priority="69" operator="containsText" text="Moderado">
      <formula>NOT(ISERROR(SEARCH("Moderado",J8)))</formula>
    </cfRule>
    <cfRule type="containsText" dxfId="65" priority="70" operator="containsText" text="Alto">
      <formula>NOT(ISERROR(SEARCH("Alto",J8)))</formula>
    </cfRule>
    <cfRule type="containsText" dxfId="64" priority="71" operator="containsText" text="Extremo">
      <formula>NOT(ISERROR(SEARCH("Extremo",J8)))</formula>
    </cfRule>
  </conditionalFormatting>
  <conditionalFormatting sqref="J9">
    <cfRule type="containsText" dxfId="63" priority="64" operator="containsText" text="Bajo">
      <formula>NOT(ISERROR(SEARCH("Bajo",J9)))</formula>
    </cfRule>
    <cfRule type="containsText" dxfId="62" priority="65" operator="containsText" text="Moderado">
      <formula>NOT(ISERROR(SEARCH("Moderado",J9)))</formula>
    </cfRule>
    <cfRule type="containsText" dxfId="61" priority="66" operator="containsText" text="Alto">
      <formula>NOT(ISERROR(SEARCH("Alto",J9)))</formula>
    </cfRule>
    <cfRule type="containsText" dxfId="60" priority="67" operator="containsText" text="Extremo">
      <formula>NOT(ISERROR(SEARCH("Extremo",J9)))</formula>
    </cfRule>
  </conditionalFormatting>
  <conditionalFormatting sqref="L22">
    <cfRule type="expression" dxfId="59" priority="56">
      <formula>NOT(ISERROR(SEARCH("Bajo",L22)))</formula>
    </cfRule>
    <cfRule type="expression" dxfId="58" priority="57">
      <formula>NOT(ISERROR(SEARCH("Moderado",L22)))</formula>
    </cfRule>
    <cfRule type="expression" dxfId="57" priority="58">
      <formula>NOT(ISERROR(SEARCH("Alto",L22)))</formula>
    </cfRule>
    <cfRule type="expression" dxfId="56" priority="59">
      <formula>NOT(ISERROR(SEARCH("Extremo",L22)))</formula>
    </cfRule>
  </conditionalFormatting>
  <conditionalFormatting sqref="AN22">
    <cfRule type="expression" dxfId="55" priority="60">
      <formula>NOT(ISERROR(SEARCH("Alto",AN22)))</formula>
    </cfRule>
  </conditionalFormatting>
  <conditionalFormatting sqref="K22">
    <cfRule type="containsText" dxfId="54" priority="55" operator="containsText" text="❌">
      <formula>NOT(ISERROR(SEARCH(("❌"),(K22))))</formula>
    </cfRule>
  </conditionalFormatting>
  <conditionalFormatting sqref="L23:N23">
    <cfRule type="expression" dxfId="53" priority="47">
      <formula>NOT(ISERROR(SEARCH("Bajo",L23)))</formula>
    </cfRule>
    <cfRule type="expression" dxfId="52" priority="48">
      <formula>NOT(ISERROR(SEARCH("Moderado",L23)))</formula>
    </cfRule>
    <cfRule type="expression" dxfId="51" priority="49">
      <formula>NOT(ISERROR(SEARCH("Alto",L23)))</formula>
    </cfRule>
    <cfRule type="expression" dxfId="50" priority="50">
      <formula>NOT(ISERROR(SEARCH("Extremo",L23)))</formula>
    </cfRule>
  </conditionalFormatting>
  <conditionalFormatting sqref="AN23">
    <cfRule type="expression" dxfId="49" priority="51">
      <formula>NOT(ISERROR(SEARCH("Alto",AN23)))</formula>
    </cfRule>
  </conditionalFormatting>
  <conditionalFormatting sqref="K23">
    <cfRule type="containsText" dxfId="48" priority="46" operator="containsText" text="❌">
      <formula>NOT(ISERROR(SEARCH(("❌"),(K23))))</formula>
    </cfRule>
  </conditionalFormatting>
  <conditionalFormatting sqref="L24:N24">
    <cfRule type="expression" dxfId="47" priority="34">
      <formula>NOT(ISERROR(SEARCH("Bajo",L24)))</formula>
    </cfRule>
    <cfRule type="expression" dxfId="46" priority="35">
      <formula>NOT(ISERROR(SEARCH("Moderado",L24)))</formula>
    </cfRule>
    <cfRule type="expression" dxfId="45" priority="36">
      <formula>NOT(ISERROR(SEARCH("Alto",L24)))</formula>
    </cfRule>
    <cfRule type="expression" dxfId="44" priority="37">
      <formula>NOT(ISERROR(SEARCH("Extremo",L24)))</formula>
    </cfRule>
  </conditionalFormatting>
  <conditionalFormatting sqref="AN24">
    <cfRule type="expression" dxfId="43" priority="38">
      <formula>NOT(ISERROR(SEARCH("Alto",AN24)))</formula>
    </cfRule>
  </conditionalFormatting>
  <conditionalFormatting sqref="M25">
    <cfRule type="expression" dxfId="42" priority="39">
      <formula>NOT(ISERROR(SEARCH("Bajo",M25)))</formula>
    </cfRule>
  </conditionalFormatting>
  <conditionalFormatting sqref="K24">
    <cfRule type="containsText" dxfId="41" priority="33" operator="containsText" text="❌">
      <formula>NOT(ISERROR(SEARCH(("❌"),(K24))))</formula>
    </cfRule>
  </conditionalFormatting>
  <conditionalFormatting sqref="L28:L29 L31:L32">
    <cfRule type="containsText" dxfId="40" priority="29" operator="containsText" text="Bajo">
      <formula>NOT(ISERROR(SEARCH("Bajo",L28)))</formula>
    </cfRule>
    <cfRule type="containsText" dxfId="39" priority="30" operator="containsText" text="Moderado">
      <formula>NOT(ISERROR(SEARCH("Moderado",L28)))</formula>
    </cfRule>
    <cfRule type="containsText" dxfId="38" priority="31" operator="containsText" text="Alto">
      <formula>NOT(ISERROR(SEARCH("Alto",L28)))</formula>
    </cfRule>
    <cfRule type="containsText" dxfId="37" priority="32" operator="containsText" text="Extremo">
      <formula>NOT(ISERROR(SEARCH("Extremo",L28)))</formula>
    </cfRule>
  </conditionalFormatting>
  <conditionalFormatting sqref="AN28:AN29 AN31">
    <cfRule type="containsText" dxfId="36" priority="25" operator="containsText" text="Alto">
      <formula>NOT(ISERROR(SEARCH("Alto",AN28)))</formula>
    </cfRule>
    <cfRule type="containsText" dxfId="35" priority="26" operator="containsText" text="Moderado">
      <formula>NOT(ISERROR(SEARCH("Moderado",AN28)))</formula>
    </cfRule>
    <cfRule type="containsText" dxfId="34" priority="27" operator="containsText" text="Bajo">
      <formula>NOT(ISERROR(SEARCH("Bajo",AN28)))</formula>
    </cfRule>
    <cfRule type="containsText" dxfId="33" priority="28" operator="containsText" text="Extremo">
      <formula>NOT(ISERROR(SEARCH("Extremo",AN28)))</formula>
    </cfRule>
  </conditionalFormatting>
  <conditionalFormatting sqref="AN32">
    <cfRule type="containsText" dxfId="32" priority="21" operator="containsText" text="Alto">
      <formula>NOT(ISERROR(SEARCH("Alto",AN32)))</formula>
    </cfRule>
    <cfRule type="containsText" dxfId="31" priority="22" operator="containsText" text="Moderado">
      <formula>NOT(ISERROR(SEARCH("Moderado",AN32)))</formula>
    </cfRule>
    <cfRule type="containsText" dxfId="30" priority="23" operator="containsText" text="Bajo">
      <formula>NOT(ISERROR(SEARCH("Bajo",AN32)))</formula>
    </cfRule>
    <cfRule type="containsText" dxfId="29" priority="24" operator="containsText" text="Extremo">
      <formula>NOT(ISERROR(SEARCH("Extremo",AN32)))</formula>
    </cfRule>
  </conditionalFormatting>
  <conditionalFormatting sqref="K28:K29">
    <cfRule type="containsText" dxfId="28" priority="20" operator="containsText" text="❌">
      <formula>NOT(ISERROR(SEARCH(("❌"),(K28))))</formula>
    </cfRule>
  </conditionalFormatting>
  <conditionalFormatting sqref="K31:K32">
    <cfRule type="containsText" dxfId="27" priority="19" operator="containsText" text="❌">
      <formula>NOT(ISERROR(SEARCH(("❌"),(K31))))</formula>
    </cfRule>
  </conditionalFormatting>
  <conditionalFormatting sqref="L34:N34">
    <cfRule type="containsText" dxfId="26" priority="15" operator="containsText" text="Bajo">
      <formula>NOT(ISERROR(SEARCH("Bajo",L34)))</formula>
    </cfRule>
    <cfRule type="containsText" dxfId="25" priority="16" operator="containsText" text="Moderado">
      <formula>NOT(ISERROR(SEARCH("Moderado",L34)))</formula>
    </cfRule>
    <cfRule type="containsText" dxfId="24" priority="17" operator="containsText" text="Alto">
      <formula>NOT(ISERROR(SEARCH("Alto",L34)))</formula>
    </cfRule>
    <cfRule type="containsText" dxfId="23" priority="18" operator="containsText" text="Extremo">
      <formula>NOT(ISERROR(SEARCH("Extremo",L34)))</formula>
    </cfRule>
  </conditionalFormatting>
  <conditionalFormatting sqref="AN34">
    <cfRule type="containsText" dxfId="22" priority="11" operator="containsText" text="Alto">
      <formula>NOT(ISERROR(SEARCH("Alto",AN34)))</formula>
    </cfRule>
    <cfRule type="containsText" dxfId="21" priority="12" operator="containsText" text="Moderado">
      <formula>NOT(ISERROR(SEARCH("Moderado",AN34)))</formula>
    </cfRule>
    <cfRule type="containsText" dxfId="20" priority="13" operator="containsText" text="Bajo">
      <formula>NOT(ISERROR(SEARCH("Bajo",AN34)))</formula>
    </cfRule>
    <cfRule type="containsText" dxfId="19" priority="14" operator="containsText" text="Extremo">
      <formula>NOT(ISERROR(SEARCH("Extremo",AN34)))</formula>
    </cfRule>
  </conditionalFormatting>
  <conditionalFormatting sqref="K34">
    <cfRule type="containsText" dxfId="18" priority="10" operator="containsText" text="❌">
      <formula>NOT(ISERROR(SEARCH(("❌"),(K34))))</formula>
    </cfRule>
  </conditionalFormatting>
  <conditionalFormatting sqref="L36:N36">
    <cfRule type="containsText" dxfId="17" priority="6" operator="containsText" text="Bajo">
      <formula>NOT(ISERROR(SEARCH("Bajo",L36)))</formula>
    </cfRule>
    <cfRule type="containsText" dxfId="16" priority="7" operator="containsText" text="Moderado">
      <formula>NOT(ISERROR(SEARCH("Moderado",L36)))</formula>
    </cfRule>
    <cfRule type="containsText" dxfId="15" priority="8" operator="containsText" text="Alto">
      <formula>NOT(ISERROR(SEARCH("Alto",L36)))</formula>
    </cfRule>
    <cfRule type="containsText" dxfId="14" priority="9" operator="containsText" text="Extremo">
      <formula>NOT(ISERROR(SEARCH("Extremo",L36)))</formula>
    </cfRule>
  </conditionalFormatting>
  <conditionalFormatting sqref="AN36">
    <cfRule type="containsText" dxfId="13" priority="2" operator="containsText" text="Alto">
      <formula>NOT(ISERROR(SEARCH("Alto",AN36)))</formula>
    </cfRule>
    <cfRule type="containsText" dxfId="12" priority="3" operator="containsText" text="Moderado">
      <formula>NOT(ISERROR(SEARCH("Moderado",AN36)))</formula>
    </cfRule>
    <cfRule type="containsText" dxfId="11" priority="4" operator="containsText" text="Bajo">
      <formula>NOT(ISERROR(SEARCH("Bajo",AN36)))</formula>
    </cfRule>
    <cfRule type="containsText" dxfId="10" priority="5" operator="containsText" text="Extremo">
      <formula>NOT(ISERROR(SEARCH("Extremo",AN36)))</formula>
    </cfRule>
  </conditionalFormatting>
  <conditionalFormatting sqref="K36">
    <cfRule type="containsText" dxfId="9" priority="1" operator="containsText" text="❌">
      <formula>NOT(ISERROR(SEARCH(("❌"),(K36))))</formula>
    </cfRule>
  </conditionalFormatting>
  <pageMargins left="0.7" right="0.7" top="0.75" bottom="0.75" header="0.3" footer="0.3"/>
  <pageSetup orientation="portrait" horizontalDpi="4294967293" verticalDpi="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'C:\Users\Jazmin\Downloads\[180222_Mapa de corrupción_ Proceo Control Evaluación y Seguimiento.xlsx]Parámetros'!#REF!</xm:f>
          </x14:formula1>
          <xm:sqref>AD3:AD5 A3:A4 I3 AL3:AM3 AH3:AI5</xm:sqref>
        </x14:dataValidation>
        <x14:dataValidation type="list" allowBlank="1" showInputMessage="1" showErrorMessage="1" xr:uid="{00000000-0002-0000-0000-000001000000}">
          <x14:formula1>
            <xm:f>'D:\Vigencia 2022\RIESGO 2022\RIESGOS\CORRUPCION\[Riesgo corrupcion diseño y construccion actualizado febrero 2022.xlsx]Parámetro'!#REF!</xm:f>
          </x14:formula1>
          <xm:sqref>AD6:AD7 AL6:AM7 I6:I7 U6:AA7 AH6:AI7 M6:M7</xm:sqref>
        </x14:dataValidation>
        <x14:dataValidation type="list" allowBlank="1" showInputMessage="1" showErrorMessage="1" xr:uid="{00000000-0002-0000-0000-000002000000}">
          <x14:formula1>
            <xm:f>'D:\Vigencia 2022\RIESGO 2022\RIESGOS\CORRUPCION\[Riesgos corrupcion  gestion financiera actualizado febrero 2022.xlsx]Parámetros'!#REF!</xm:f>
          </x14:formula1>
          <xm:sqref>AI9:AI11 I9 AL9:AM9 AM13 AM11 AH9:AH10 AD9:AD10 A9</xm:sqref>
        </x14:dataValidation>
        <x14:dataValidation type="list" allowBlank="1" showInputMessage="1" showErrorMessage="1" xr:uid="{00000000-0002-0000-0000-000003000000}">
          <x14:formula1>
            <xm:f>'E:\IDRD\Informes control interno\Respuesta OCI 348063\[7. GestionFinanciera24092020.xlsx]Parámetros'!#REF!</xm:f>
          </x14:formula1>
          <xm:sqref>AD11:AD14 AL13 AI12:AI14 I11 AL11 AH11:AH14 I13</xm:sqref>
        </x14:dataValidation>
        <x14:dataValidation type="list" allowBlank="1" showErrorMessage="1" xr:uid="{00000000-0002-0000-0000-000004000000}">
          <x14:formula1>
            <xm:f>'D:\Vigencia 2022\RIESGO 2022\RIESGOS\CORRUPCION\[Riesgos corrupción Fomento de la actividad física, el deporte y la recreación.xlsx]Parámetros'!#REF!</xm:f>
          </x14:formula1>
          <xm:sqref>AD15 M15 AH15:AI15 AM18 I15 AL15:AM16</xm:sqref>
        </x14:dataValidation>
        <x14:dataValidation type="list" allowBlank="1" showInputMessage="1" showErrorMessage="1" xr:uid="{00000000-0002-0000-0000-000005000000}">
          <x14:formula1>
            <xm:f>'D:\Vigencia 2022\RIESGO 2022\RIESGOS\CORRUPCION\[Riesgos corrupcion gestion comunicaciones actualizado febrero 2022.xlsx]Parámetros'!#REF!</xm:f>
          </x14:formula1>
          <xm:sqref>I19</xm:sqref>
        </x14:dataValidation>
        <x14:dataValidation type="list" allowBlank="1" showInputMessage="1" showErrorMessage="1" xr:uid="{00000000-0002-0000-0000-000006000000}">
          <x14:formula1>
            <xm:f>'D:\Vigencia 2022\RIESGO 2022\RIESGOS\CORRUPCION\[Riesgos corrupcion gestion juridica actualizado febrero 2022.xlsx]Parámetros'!#REF!</xm:f>
          </x14:formula1>
          <xm:sqref>AD20 AL20:AM21 I20:J21 AH20:AI20 A20</xm:sqref>
        </x14:dataValidation>
        <x14:dataValidation type="list" allowBlank="1" showInputMessage="1" showErrorMessage="1" xr:uid="{00000000-0002-0000-0000-000007000000}">
          <x14:formula1>
            <xm:f>'D:\Vigencia 2022\RIESGO 2022\RIESGOS\CORRUPCION\[Riesgos corrupcion Gestión TIC actualizado febrero 2022.xlsx]Parámetros'!#REF!</xm:f>
          </x14:formula1>
          <xm:sqref>I24:I27</xm:sqref>
        </x14:dataValidation>
        <x14:dataValidation type="list" allowBlank="1" showInputMessage="1" showErrorMessage="1" xr:uid="{00000000-0002-0000-0000-000008000000}">
          <x14:formula1>
            <xm:f>'D:\Vigencia 2022\RIESGO 2022\RIESGOS\CORRUPCION\[Riesgos de Corrupción AByS-actualizado febrero 2022.xlsx]Parámetros'!#REF!</xm:f>
          </x14:formula1>
          <xm:sqref>AD28:AD33 I31:I32 I28:I29 AL28:AM29 AL31:AM32 A28 AH28:AI33</xm:sqref>
        </x14:dataValidation>
        <x14:dataValidation type="list" allowBlank="1" showInputMessage="1" showErrorMessage="1" xr:uid="{00000000-0002-0000-0000-000009000000}">
          <x14:formula1>
            <xm:f>'D:\Vigencia 2022\RIESGO 2022\RIESGOS\CORRUPCION\[Riesgo corrupcion control disciplinario actualizado febrero 2022.xlsx]Parámetros'!#REF!</xm:f>
          </x14:formula1>
          <xm:sqref>AD36 I36 AL36:AM36 AH36:AI36 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T1" zoomScale="70" zoomScaleNormal="70" workbookViewId="0">
      <selection activeCell="Z50" sqref="Z50"/>
    </sheetView>
  </sheetViews>
  <sheetFormatPr baseColWidth="10" defaultColWidth="11.44140625" defaultRowHeight="14.4" x14ac:dyDescent="0.3"/>
  <cols>
    <col min="1" max="16384" width="11.44140625" style="57"/>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3" zoomScale="50" zoomScaleNormal="50" workbookViewId="0">
      <selection activeCell="I86" sqref="I86"/>
    </sheetView>
  </sheetViews>
  <sheetFormatPr baseColWidth="10" defaultRowHeight="14.4" x14ac:dyDescent="0.3"/>
  <cols>
    <col min="2" max="9" width="5.6640625" customWidth="1"/>
    <col min="10" max="40" width="44.33203125" customWidth="1"/>
    <col min="41" max="41" width="20.88671875" customWidth="1"/>
    <col min="42" max="46" width="5.6640625" customWidth="1"/>
  </cols>
  <sheetData>
    <row r="1" spans="1:99" x14ac:dyDescent="0.3">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row>
    <row r="2" spans="1:99" ht="18" customHeight="1" x14ac:dyDescent="0.3">
      <c r="A2" s="31"/>
      <c r="B2" s="259" t="s">
        <v>124</v>
      </c>
      <c r="C2" s="259"/>
      <c r="D2" s="259"/>
      <c r="E2" s="259"/>
      <c r="F2" s="259"/>
      <c r="G2" s="259"/>
      <c r="H2" s="259"/>
      <c r="I2" s="259"/>
      <c r="J2" s="297" t="s">
        <v>0</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row>
    <row r="3" spans="1:99" ht="18.75" customHeight="1" x14ac:dyDescent="0.3">
      <c r="A3" s="31"/>
      <c r="B3" s="259"/>
      <c r="C3" s="259"/>
      <c r="D3" s="259"/>
      <c r="E3" s="259"/>
      <c r="F3" s="259"/>
      <c r="G3" s="259"/>
      <c r="H3" s="259"/>
      <c r="I3" s="259"/>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row>
    <row r="4" spans="1:99" ht="15" customHeight="1" x14ac:dyDescent="0.3">
      <c r="A4" s="31"/>
      <c r="B4" s="259"/>
      <c r="C4" s="259"/>
      <c r="D4" s="259"/>
      <c r="E4" s="259"/>
      <c r="F4" s="259"/>
      <c r="G4" s="259"/>
      <c r="H4" s="259"/>
      <c r="I4" s="259"/>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row>
    <row r="5" spans="1:99" ht="15" thickBot="1" x14ac:dyDescent="0.3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row>
    <row r="6" spans="1:99" ht="15" customHeight="1" x14ac:dyDescent="0.3">
      <c r="A6" s="31"/>
      <c r="B6" s="309" t="s">
        <v>1</v>
      </c>
      <c r="C6" s="309"/>
      <c r="D6" s="310"/>
      <c r="E6" s="298" t="s">
        <v>90</v>
      </c>
      <c r="F6" s="299"/>
      <c r="G6" s="299"/>
      <c r="H6" s="299"/>
      <c r="I6" s="300"/>
      <c r="J6" s="294" t="e">
        <f>IF(AND(#REF!="Muy Alta",#REF!="Leve"),CONCATENATE("R",#REF!),"")</f>
        <v>#REF!</v>
      </c>
      <c r="K6" s="295"/>
      <c r="L6" s="295" t="e">
        <f>IF(AND(#REF!="Muy Alta",#REF!="Leve"),CONCATENATE("R",#REF!),"")</f>
        <v>#REF!</v>
      </c>
      <c r="M6" s="295"/>
      <c r="N6" s="295" t="e">
        <f>IF(AND(#REF!="Muy Alta",#REF!="Leve"),CONCATENATE("R",#REF!),"")</f>
        <v>#REF!</v>
      </c>
      <c r="O6" s="296"/>
      <c r="P6" s="294" t="e">
        <f>IF(AND(#REF!="Muy Alta",#REF!="Menor"),CONCATENATE("R",#REF!),"")</f>
        <v>#REF!</v>
      </c>
      <c r="Q6" s="295"/>
      <c r="R6" s="295" t="e">
        <f>IF(AND(#REF!="Muy Alta",#REF!="Menor"),CONCATENATE("R",#REF!),"")</f>
        <v>#REF!</v>
      </c>
      <c r="S6" s="295"/>
      <c r="T6" s="295" t="e">
        <f>IF(AND(#REF!="Muy Alta",#REF!="Menor"),CONCATENATE("R",#REF!),"")</f>
        <v>#REF!</v>
      </c>
      <c r="U6" s="296"/>
      <c r="V6" s="294" t="e">
        <f>IF(AND(#REF!="Muy Alta",#REF!="Moderado"),CONCATENATE("R",#REF!),"")</f>
        <v>#REF!</v>
      </c>
      <c r="W6" s="295"/>
      <c r="X6" s="295" t="e">
        <f>IF(AND(#REF!="Muy Alta",#REF!="Moderado"),CONCATENATE("R",#REF!),"")</f>
        <v>#REF!</v>
      </c>
      <c r="Y6" s="295"/>
      <c r="Z6" s="295" t="e">
        <f>IF(AND(#REF!="Muy Alta",#REF!="Moderado"),CONCATENATE("R",#REF!),"")</f>
        <v>#REF!</v>
      </c>
      <c r="AA6" s="296"/>
      <c r="AB6" s="294" t="e">
        <f>IF(AND(#REF!="Muy Alta",#REF!="Mayor"),CONCATENATE("R",#REF!),"")</f>
        <v>#REF!</v>
      </c>
      <c r="AC6" s="295"/>
      <c r="AD6" s="295" t="e">
        <f>IF(AND(#REF!="Muy Alta",#REF!="Mayor"),CONCATENATE("R",#REF!),"")</f>
        <v>#REF!</v>
      </c>
      <c r="AE6" s="295"/>
      <c r="AF6" s="295" t="e">
        <f>IF(AND(#REF!="Muy Alta",#REF!="Mayor"),CONCATENATE("R",#REF!),"")</f>
        <v>#REF!</v>
      </c>
      <c r="AG6" s="296"/>
      <c r="AH6" s="284" t="e">
        <f>IF(AND(#REF!="Muy Alta",#REF!="Catastrófico"),CONCATENATE("R",#REF!),"")</f>
        <v>#REF!</v>
      </c>
      <c r="AI6" s="285"/>
      <c r="AJ6" s="285" t="e">
        <f>IF(AND(#REF!="Muy Alta",#REF!="Catastrófico"),CONCATENATE("R",#REF!),"")</f>
        <v>#REF!</v>
      </c>
      <c r="AK6" s="285"/>
      <c r="AL6" s="285" t="e">
        <f>IF(AND(#REF!="Muy Alta",#REF!="Catastrófico"),CONCATENATE("R",#REF!),"")</f>
        <v>#REF!</v>
      </c>
      <c r="AM6" s="286"/>
      <c r="AO6" s="311" t="s">
        <v>54</v>
      </c>
      <c r="AP6" s="312"/>
      <c r="AQ6" s="312"/>
      <c r="AR6" s="312"/>
      <c r="AS6" s="312"/>
      <c r="AT6" s="313"/>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99" ht="15" customHeight="1" x14ac:dyDescent="0.3">
      <c r="A7" s="31"/>
      <c r="B7" s="309"/>
      <c r="C7" s="309"/>
      <c r="D7" s="310"/>
      <c r="E7" s="301"/>
      <c r="F7" s="302"/>
      <c r="G7" s="302"/>
      <c r="H7" s="302"/>
      <c r="I7" s="303"/>
      <c r="J7" s="287"/>
      <c r="K7" s="288"/>
      <c r="L7" s="288"/>
      <c r="M7" s="288"/>
      <c r="N7" s="288"/>
      <c r="O7" s="290"/>
      <c r="P7" s="287"/>
      <c r="Q7" s="288"/>
      <c r="R7" s="288"/>
      <c r="S7" s="288"/>
      <c r="T7" s="288"/>
      <c r="U7" s="290"/>
      <c r="V7" s="287"/>
      <c r="W7" s="288"/>
      <c r="X7" s="288"/>
      <c r="Y7" s="288"/>
      <c r="Z7" s="288"/>
      <c r="AA7" s="290"/>
      <c r="AB7" s="287"/>
      <c r="AC7" s="288"/>
      <c r="AD7" s="288"/>
      <c r="AE7" s="288"/>
      <c r="AF7" s="288"/>
      <c r="AG7" s="290"/>
      <c r="AH7" s="278"/>
      <c r="AI7" s="279"/>
      <c r="AJ7" s="279"/>
      <c r="AK7" s="279"/>
      <c r="AL7" s="279"/>
      <c r="AM7" s="280"/>
      <c r="AN7" s="31"/>
      <c r="AO7" s="314"/>
      <c r="AP7" s="315"/>
      <c r="AQ7" s="315"/>
      <c r="AR7" s="315"/>
      <c r="AS7" s="315"/>
      <c r="AT7" s="316"/>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row>
    <row r="8" spans="1:99" ht="15" customHeight="1" x14ac:dyDescent="0.3">
      <c r="A8" s="31"/>
      <c r="B8" s="309"/>
      <c r="C8" s="309"/>
      <c r="D8" s="310"/>
      <c r="E8" s="301"/>
      <c r="F8" s="302"/>
      <c r="G8" s="302"/>
      <c r="H8" s="302"/>
      <c r="I8" s="303"/>
      <c r="J8" s="287" t="e">
        <f>IF(AND(#REF!="Muy Alta",#REF!="Leve"),CONCATENATE("R",#REF!),"")</f>
        <v>#REF!</v>
      </c>
      <c r="K8" s="288"/>
      <c r="L8" s="289" t="e">
        <f>IF(AND(#REF!="Muy Alta",#REF!="Leve"),CONCATENATE("R",#REF!),"")</f>
        <v>#REF!</v>
      </c>
      <c r="M8" s="289"/>
      <c r="N8" s="289" t="e">
        <f>IF(AND(#REF!="Muy Alta",#REF!="Leve"),CONCATENATE("R",#REF!),"")</f>
        <v>#REF!</v>
      </c>
      <c r="O8" s="290"/>
      <c r="P8" s="287" t="e">
        <f>IF(AND(#REF!="Muy Alta",#REF!="Menor"),CONCATENATE("R",#REF!),"")</f>
        <v>#REF!</v>
      </c>
      <c r="Q8" s="288"/>
      <c r="R8" s="289" t="e">
        <f>IF(AND(#REF!="Muy Alta",#REF!="Menor"),CONCATENATE("R",#REF!),"")</f>
        <v>#REF!</v>
      </c>
      <c r="S8" s="289"/>
      <c r="T8" s="289" t="e">
        <f>IF(AND(#REF!="Muy Alta",#REF!="Menor"),CONCATENATE("R",#REF!),"")</f>
        <v>#REF!</v>
      </c>
      <c r="U8" s="290"/>
      <c r="V8" s="287" t="e">
        <f>IF(AND(#REF!="Muy Alta",#REF!="Moderado"),CONCATENATE("R",#REF!),"")</f>
        <v>#REF!</v>
      </c>
      <c r="W8" s="288"/>
      <c r="X8" s="289" t="e">
        <f>IF(AND(#REF!="Muy Alta",#REF!="Moderado"),CONCATENATE("R",#REF!),"")</f>
        <v>#REF!</v>
      </c>
      <c r="Y8" s="289"/>
      <c r="Z8" s="289" t="e">
        <f>IF(AND(#REF!="Muy Alta",#REF!="Moderado"),CONCATENATE("R",#REF!),"")</f>
        <v>#REF!</v>
      </c>
      <c r="AA8" s="290"/>
      <c r="AB8" s="287" t="e">
        <f>IF(AND(#REF!="Muy Alta",#REF!="Mayor"),CONCATENATE("R",#REF!),"")</f>
        <v>#REF!</v>
      </c>
      <c r="AC8" s="288"/>
      <c r="AD8" s="289" t="e">
        <f>IF(AND(#REF!="Muy Alta",#REF!="Mayor"),CONCATENATE("R",#REF!),"")</f>
        <v>#REF!</v>
      </c>
      <c r="AE8" s="289"/>
      <c r="AF8" s="289" t="e">
        <f>IF(AND(#REF!="Muy Alta",#REF!="Mayor"),CONCATENATE("R",#REF!),"")</f>
        <v>#REF!</v>
      </c>
      <c r="AG8" s="290"/>
      <c r="AH8" s="278" t="e">
        <f>IF(AND(#REF!="Muy Alta",#REF!="Catastrófico"),CONCATENATE("R",#REF!),"")</f>
        <v>#REF!</v>
      </c>
      <c r="AI8" s="279"/>
      <c r="AJ8" s="279" t="e">
        <f>IF(AND(#REF!="Muy Alta",#REF!="Catastrófico"),CONCATENATE("R",#REF!),"")</f>
        <v>#REF!</v>
      </c>
      <c r="AK8" s="279"/>
      <c r="AL8" s="279" t="e">
        <f>IF(AND(#REF!="Muy Alta",#REF!="Catastrófico"),CONCATENATE("R",#REF!),"")</f>
        <v>#REF!</v>
      </c>
      <c r="AM8" s="280"/>
      <c r="AN8" s="31"/>
      <c r="AO8" s="314"/>
      <c r="AP8" s="315"/>
      <c r="AQ8" s="315"/>
      <c r="AR8" s="315"/>
      <c r="AS8" s="315"/>
      <c r="AT8" s="316"/>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row>
    <row r="9" spans="1:99" ht="15" customHeight="1" x14ac:dyDescent="0.3">
      <c r="A9" s="31"/>
      <c r="B9" s="309"/>
      <c r="C9" s="309"/>
      <c r="D9" s="310"/>
      <c r="E9" s="301"/>
      <c r="F9" s="302"/>
      <c r="G9" s="302"/>
      <c r="H9" s="302"/>
      <c r="I9" s="303"/>
      <c r="J9" s="287"/>
      <c r="K9" s="288"/>
      <c r="L9" s="289"/>
      <c r="M9" s="289"/>
      <c r="N9" s="289"/>
      <c r="O9" s="290"/>
      <c r="P9" s="287"/>
      <c r="Q9" s="288"/>
      <c r="R9" s="289"/>
      <c r="S9" s="289"/>
      <c r="T9" s="289"/>
      <c r="U9" s="290"/>
      <c r="V9" s="287"/>
      <c r="W9" s="288"/>
      <c r="X9" s="289"/>
      <c r="Y9" s="289"/>
      <c r="Z9" s="289"/>
      <c r="AA9" s="290"/>
      <c r="AB9" s="287"/>
      <c r="AC9" s="288"/>
      <c r="AD9" s="289"/>
      <c r="AE9" s="289"/>
      <c r="AF9" s="289"/>
      <c r="AG9" s="290"/>
      <c r="AH9" s="278"/>
      <c r="AI9" s="279"/>
      <c r="AJ9" s="279"/>
      <c r="AK9" s="279"/>
      <c r="AL9" s="279"/>
      <c r="AM9" s="280"/>
      <c r="AN9" s="31"/>
      <c r="AO9" s="314"/>
      <c r="AP9" s="315"/>
      <c r="AQ9" s="315"/>
      <c r="AR9" s="315"/>
      <c r="AS9" s="315"/>
      <c r="AT9" s="316"/>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row>
    <row r="10" spans="1:99" ht="15" customHeight="1" x14ac:dyDescent="0.3">
      <c r="A10" s="31"/>
      <c r="B10" s="309"/>
      <c r="C10" s="309"/>
      <c r="D10" s="310"/>
      <c r="E10" s="301"/>
      <c r="F10" s="302"/>
      <c r="G10" s="302"/>
      <c r="H10" s="302"/>
      <c r="I10" s="303"/>
      <c r="J10" s="287" t="e">
        <f>IF(AND(#REF!="Muy Alta",#REF!="Leve"),CONCATENATE("R",#REF!),"")</f>
        <v>#REF!</v>
      </c>
      <c r="K10" s="288"/>
      <c r="L10" s="289" t="e">
        <f>IF(AND(#REF!="Muy Alta",#REF!="Leve"),CONCATENATE("R",#REF!),"")</f>
        <v>#REF!</v>
      </c>
      <c r="M10" s="289"/>
      <c r="N10" s="289" t="e">
        <f>IF(AND(#REF!="Muy Alta",#REF!="Leve"),CONCATENATE("R",#REF!),"")</f>
        <v>#REF!</v>
      </c>
      <c r="O10" s="290"/>
      <c r="P10" s="287" t="e">
        <f>IF(AND(#REF!="Muy Alta",#REF!="Menor"),CONCATENATE("R",#REF!),"")</f>
        <v>#REF!</v>
      </c>
      <c r="Q10" s="288"/>
      <c r="R10" s="289" t="e">
        <f>IF(AND(#REF!="Muy Alta",#REF!="Menor"),CONCATENATE("R",#REF!),"")</f>
        <v>#REF!</v>
      </c>
      <c r="S10" s="289"/>
      <c r="T10" s="289" t="e">
        <f>IF(AND(#REF!="Muy Alta",#REF!="Menor"),CONCATENATE("R",#REF!),"")</f>
        <v>#REF!</v>
      </c>
      <c r="U10" s="290"/>
      <c r="V10" s="287" t="e">
        <f>IF(AND(#REF!="Muy Alta",#REF!="Moderado"),CONCATENATE("R",#REF!),"")</f>
        <v>#REF!</v>
      </c>
      <c r="W10" s="288"/>
      <c r="X10" s="289" t="e">
        <f>IF(AND(#REF!="Muy Alta",#REF!="Moderado"),CONCATENATE("R",#REF!),"")</f>
        <v>#REF!</v>
      </c>
      <c r="Y10" s="289"/>
      <c r="Z10" s="289" t="e">
        <f>IF(AND(#REF!="Muy Alta",#REF!="Moderado"),CONCATENATE("R",#REF!),"")</f>
        <v>#REF!</v>
      </c>
      <c r="AA10" s="290"/>
      <c r="AB10" s="287" t="e">
        <f>IF(AND(#REF!="Muy Alta",#REF!="Mayor"),CONCATENATE("R",#REF!),"")</f>
        <v>#REF!</v>
      </c>
      <c r="AC10" s="288"/>
      <c r="AD10" s="289" t="e">
        <f>IF(AND(#REF!="Muy Alta",#REF!="Mayor"),CONCATENATE("R",#REF!),"")</f>
        <v>#REF!</v>
      </c>
      <c r="AE10" s="289"/>
      <c r="AF10" s="289" t="e">
        <f>IF(AND(#REF!="Muy Alta",#REF!="Mayor"),CONCATENATE("R",#REF!),"")</f>
        <v>#REF!</v>
      </c>
      <c r="AG10" s="290"/>
      <c r="AH10" s="278" t="e">
        <f>IF(AND(#REF!="Muy Alta",#REF!="Catastrófico"),CONCATENATE("R",#REF!),"")</f>
        <v>#REF!</v>
      </c>
      <c r="AI10" s="279"/>
      <c r="AJ10" s="279" t="e">
        <f>IF(AND(#REF!="Muy Alta",#REF!="Catastrófico"),CONCATENATE("R",#REF!),"")</f>
        <v>#REF!</v>
      </c>
      <c r="AK10" s="279"/>
      <c r="AL10" s="279" t="e">
        <f>IF(AND(#REF!="Muy Alta",#REF!="Catastrófico"),CONCATENATE("R",#REF!),"")</f>
        <v>#REF!</v>
      </c>
      <c r="AM10" s="280"/>
      <c r="AN10" s="31"/>
      <c r="AO10" s="314"/>
      <c r="AP10" s="315"/>
      <c r="AQ10" s="315"/>
      <c r="AR10" s="315"/>
      <c r="AS10" s="315"/>
      <c r="AT10" s="316"/>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row>
    <row r="11" spans="1:99" ht="15" customHeight="1" x14ac:dyDescent="0.3">
      <c r="A11" s="31"/>
      <c r="B11" s="309"/>
      <c r="C11" s="309"/>
      <c r="D11" s="310"/>
      <c r="E11" s="301"/>
      <c r="F11" s="302"/>
      <c r="G11" s="302"/>
      <c r="H11" s="302"/>
      <c r="I11" s="303"/>
      <c r="J11" s="287"/>
      <c r="K11" s="288"/>
      <c r="L11" s="289"/>
      <c r="M11" s="289"/>
      <c r="N11" s="289"/>
      <c r="O11" s="290"/>
      <c r="P11" s="287"/>
      <c r="Q11" s="288"/>
      <c r="R11" s="289"/>
      <c r="S11" s="289"/>
      <c r="T11" s="289"/>
      <c r="U11" s="290"/>
      <c r="V11" s="287"/>
      <c r="W11" s="288"/>
      <c r="X11" s="289"/>
      <c r="Y11" s="289"/>
      <c r="Z11" s="289"/>
      <c r="AA11" s="290"/>
      <c r="AB11" s="287"/>
      <c r="AC11" s="288"/>
      <c r="AD11" s="289"/>
      <c r="AE11" s="289"/>
      <c r="AF11" s="289"/>
      <c r="AG11" s="290"/>
      <c r="AH11" s="278"/>
      <c r="AI11" s="279"/>
      <c r="AJ11" s="279"/>
      <c r="AK11" s="279"/>
      <c r="AL11" s="279"/>
      <c r="AM11" s="280"/>
      <c r="AN11" s="31"/>
      <c r="AO11" s="314"/>
      <c r="AP11" s="315"/>
      <c r="AQ11" s="315"/>
      <c r="AR11" s="315"/>
      <c r="AS11" s="315"/>
      <c r="AT11" s="316"/>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row>
    <row r="12" spans="1:99" ht="15" customHeight="1" x14ac:dyDescent="0.3">
      <c r="A12" s="31"/>
      <c r="B12" s="309"/>
      <c r="C12" s="309"/>
      <c r="D12" s="310"/>
      <c r="E12" s="301"/>
      <c r="F12" s="302"/>
      <c r="G12" s="302"/>
      <c r="H12" s="302"/>
      <c r="I12" s="303"/>
      <c r="J12" s="287" t="e">
        <f>IF(AND(#REF!="Muy Alta",#REF!="Leve"),CONCATENATE("R",#REF!),"")</f>
        <v>#REF!</v>
      </c>
      <c r="K12" s="288"/>
      <c r="L12" s="289" t="e">
        <f>IF(AND(#REF!="Muy Alta",#REF!="Leve"),CONCATENATE("R",#REF!),"")</f>
        <v>#REF!</v>
      </c>
      <c r="M12" s="289"/>
      <c r="N12" s="289" t="e">
        <f>IF(AND(#REF!="Muy Alta",#REF!="Leve"),CONCATENATE("R",#REF!),"")</f>
        <v>#REF!</v>
      </c>
      <c r="O12" s="290"/>
      <c r="P12" s="287" t="e">
        <f>IF(AND(#REF!="Muy Alta",#REF!="Menor"),CONCATENATE("R",#REF!),"")</f>
        <v>#REF!</v>
      </c>
      <c r="Q12" s="288"/>
      <c r="R12" s="289" t="e">
        <f>IF(AND(#REF!="Muy Alta",#REF!="Menor"),CONCATENATE("R",#REF!),"")</f>
        <v>#REF!</v>
      </c>
      <c r="S12" s="289"/>
      <c r="T12" s="289" t="e">
        <f>IF(AND(#REF!="Muy Alta",#REF!="Menor"),CONCATENATE("R",#REF!),"")</f>
        <v>#REF!</v>
      </c>
      <c r="U12" s="290"/>
      <c r="V12" s="287" t="e">
        <f>IF(AND(#REF!="Muy Alta",#REF!="Moderado"),CONCATENATE("R",#REF!),"")</f>
        <v>#REF!</v>
      </c>
      <c r="W12" s="288"/>
      <c r="X12" s="289" t="e">
        <f>IF(AND(#REF!="Muy Alta",#REF!="Moderado"),CONCATENATE("R",#REF!),"")</f>
        <v>#REF!</v>
      </c>
      <c r="Y12" s="289"/>
      <c r="Z12" s="289" t="e">
        <f>IF(AND(#REF!="Muy Alta",#REF!="Moderado"),CONCATENATE("R",#REF!),"")</f>
        <v>#REF!</v>
      </c>
      <c r="AA12" s="290"/>
      <c r="AB12" s="287" t="e">
        <f>IF(AND(#REF!="Muy Alta",#REF!="Mayor"),CONCATENATE("R",#REF!),"")</f>
        <v>#REF!</v>
      </c>
      <c r="AC12" s="288"/>
      <c r="AD12" s="289" t="e">
        <f>IF(AND(#REF!="Muy Alta",#REF!="Mayor"),CONCATENATE("R",#REF!),"")</f>
        <v>#REF!</v>
      </c>
      <c r="AE12" s="289"/>
      <c r="AF12" s="289" t="e">
        <f>IF(AND(#REF!="Muy Alta",#REF!="Mayor"),CONCATENATE("R",#REF!),"")</f>
        <v>#REF!</v>
      </c>
      <c r="AG12" s="290"/>
      <c r="AH12" s="278" t="e">
        <f>IF(AND(#REF!="Muy Alta",#REF!="Catastrófico"),CONCATENATE("R",#REF!),"")</f>
        <v>#REF!</v>
      </c>
      <c r="AI12" s="279"/>
      <c r="AJ12" s="279" t="e">
        <f>IF(AND(#REF!="Muy Alta",#REF!="Catastrófico"),CONCATENATE("R",#REF!),"")</f>
        <v>#REF!</v>
      </c>
      <c r="AK12" s="279"/>
      <c r="AL12" s="279" t="e">
        <f>IF(AND(#REF!="Muy Alta",#REF!="Catastrófico"),CONCATENATE("R",#REF!),"")</f>
        <v>#REF!</v>
      </c>
      <c r="AM12" s="280"/>
      <c r="AN12" s="31"/>
      <c r="AO12" s="314"/>
      <c r="AP12" s="315"/>
      <c r="AQ12" s="315"/>
      <c r="AR12" s="315"/>
      <c r="AS12" s="315"/>
      <c r="AT12" s="316"/>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row>
    <row r="13" spans="1:99" ht="15.75" customHeight="1" thickBot="1" x14ac:dyDescent="0.35">
      <c r="A13" s="31"/>
      <c r="B13" s="309"/>
      <c r="C13" s="309"/>
      <c r="D13" s="310"/>
      <c r="E13" s="304"/>
      <c r="F13" s="305"/>
      <c r="G13" s="305"/>
      <c r="H13" s="305"/>
      <c r="I13" s="306"/>
      <c r="J13" s="287"/>
      <c r="K13" s="288"/>
      <c r="L13" s="288"/>
      <c r="M13" s="288"/>
      <c r="N13" s="288"/>
      <c r="O13" s="290"/>
      <c r="P13" s="287"/>
      <c r="Q13" s="288"/>
      <c r="R13" s="288"/>
      <c r="S13" s="288"/>
      <c r="T13" s="288"/>
      <c r="U13" s="290"/>
      <c r="V13" s="287"/>
      <c r="W13" s="288"/>
      <c r="X13" s="288"/>
      <c r="Y13" s="288"/>
      <c r="Z13" s="288"/>
      <c r="AA13" s="290"/>
      <c r="AB13" s="287"/>
      <c r="AC13" s="288"/>
      <c r="AD13" s="288"/>
      <c r="AE13" s="288"/>
      <c r="AF13" s="288"/>
      <c r="AG13" s="290"/>
      <c r="AH13" s="281"/>
      <c r="AI13" s="282"/>
      <c r="AJ13" s="282"/>
      <c r="AK13" s="282"/>
      <c r="AL13" s="282"/>
      <c r="AM13" s="283"/>
      <c r="AN13" s="31"/>
      <c r="AO13" s="317"/>
      <c r="AP13" s="318"/>
      <c r="AQ13" s="318"/>
      <c r="AR13" s="318"/>
      <c r="AS13" s="318"/>
      <c r="AT13" s="319"/>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row>
    <row r="14" spans="1:99" ht="15" customHeight="1" x14ac:dyDescent="0.3">
      <c r="A14" s="31"/>
      <c r="B14" s="309"/>
      <c r="C14" s="309"/>
      <c r="D14" s="310"/>
      <c r="E14" s="298" t="s">
        <v>89</v>
      </c>
      <c r="F14" s="299"/>
      <c r="G14" s="299"/>
      <c r="H14" s="299"/>
      <c r="I14" s="299"/>
      <c r="J14" s="275" t="e">
        <f>IF(AND(#REF!="Alta",#REF!="Leve"),CONCATENATE("R",#REF!),"")</f>
        <v>#REF!</v>
      </c>
      <c r="K14" s="276"/>
      <c r="L14" s="276" t="e">
        <f>IF(AND(#REF!="Alta",#REF!="Leve"),CONCATENATE("R",#REF!),"")</f>
        <v>#REF!</v>
      </c>
      <c r="M14" s="276"/>
      <c r="N14" s="276" t="e">
        <f>IF(AND(#REF!="Alta",#REF!="Leve"),CONCATENATE("R",#REF!),"")</f>
        <v>#REF!</v>
      </c>
      <c r="O14" s="277"/>
      <c r="P14" s="275" t="e">
        <f>IF(AND(#REF!="Alta",#REF!="Menor"),CONCATENATE("R",#REF!),"")</f>
        <v>#REF!</v>
      </c>
      <c r="Q14" s="276"/>
      <c r="R14" s="276" t="e">
        <f>IF(AND(#REF!="Alta",#REF!="Menor"),CONCATENATE("R",#REF!),"")</f>
        <v>#REF!</v>
      </c>
      <c r="S14" s="276"/>
      <c r="T14" s="276" t="e">
        <f>IF(AND(#REF!="Alta",#REF!="Menor"),CONCATENATE("R",#REF!),"")</f>
        <v>#REF!</v>
      </c>
      <c r="U14" s="277"/>
      <c r="V14" s="294" t="e">
        <f>IF(AND(#REF!="Alta",#REF!="Moderado"),CONCATENATE("R",#REF!),"")</f>
        <v>#REF!</v>
      </c>
      <c r="W14" s="295"/>
      <c r="X14" s="295" t="e">
        <f>IF(AND(#REF!="Alta",#REF!="Moderado"),CONCATENATE("R",#REF!),"")</f>
        <v>#REF!</v>
      </c>
      <c r="Y14" s="295"/>
      <c r="Z14" s="295" t="e">
        <f>IF(AND(#REF!="Alta",#REF!="Moderado"),CONCATENATE("R",#REF!),"")</f>
        <v>#REF!</v>
      </c>
      <c r="AA14" s="296"/>
      <c r="AB14" s="294" t="e">
        <f>IF(AND(#REF!="Alta",#REF!="Mayor"),CONCATENATE("R",#REF!),"")</f>
        <v>#REF!</v>
      </c>
      <c r="AC14" s="295"/>
      <c r="AD14" s="295" t="e">
        <f>IF(AND(#REF!="Alta",#REF!="Mayor"),CONCATENATE("R",#REF!),"")</f>
        <v>#REF!</v>
      </c>
      <c r="AE14" s="295"/>
      <c r="AF14" s="295" t="e">
        <f>IF(AND(#REF!="Alta",#REF!="Mayor"),CONCATENATE("R",#REF!),"")</f>
        <v>#REF!</v>
      </c>
      <c r="AG14" s="296"/>
      <c r="AH14" s="284" t="e">
        <f>IF(AND(#REF!="Alta",#REF!="Catastrófico"),CONCATENATE("R",#REF!),"")</f>
        <v>#REF!</v>
      </c>
      <c r="AI14" s="285"/>
      <c r="AJ14" s="285" t="e">
        <f>IF(AND(#REF!="Alta",#REF!="Catastrófico"),CONCATENATE("R",#REF!),"")</f>
        <v>#REF!</v>
      </c>
      <c r="AK14" s="285"/>
      <c r="AL14" s="285" t="e">
        <f>IF(AND(#REF!="Alta",#REF!="Catastrófico"),CONCATENATE("R",#REF!),"")</f>
        <v>#REF!</v>
      </c>
      <c r="AM14" s="286"/>
      <c r="AN14" s="31"/>
      <c r="AO14" s="320" t="s">
        <v>55</v>
      </c>
      <c r="AP14" s="321"/>
      <c r="AQ14" s="321"/>
      <c r="AR14" s="321"/>
      <c r="AS14" s="321"/>
      <c r="AT14" s="322"/>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row>
    <row r="15" spans="1:99" ht="15" customHeight="1" x14ac:dyDescent="0.3">
      <c r="A15" s="31"/>
      <c r="B15" s="309"/>
      <c r="C15" s="309"/>
      <c r="D15" s="310"/>
      <c r="E15" s="301"/>
      <c r="F15" s="302"/>
      <c r="G15" s="302"/>
      <c r="H15" s="302"/>
      <c r="I15" s="307"/>
      <c r="J15" s="269"/>
      <c r="K15" s="270"/>
      <c r="L15" s="270"/>
      <c r="M15" s="270"/>
      <c r="N15" s="270"/>
      <c r="O15" s="271"/>
      <c r="P15" s="269"/>
      <c r="Q15" s="270"/>
      <c r="R15" s="270"/>
      <c r="S15" s="270"/>
      <c r="T15" s="270"/>
      <c r="U15" s="271"/>
      <c r="V15" s="287"/>
      <c r="W15" s="288"/>
      <c r="X15" s="288"/>
      <c r="Y15" s="288"/>
      <c r="Z15" s="288"/>
      <c r="AA15" s="290"/>
      <c r="AB15" s="287"/>
      <c r="AC15" s="288"/>
      <c r="AD15" s="288"/>
      <c r="AE15" s="288"/>
      <c r="AF15" s="288"/>
      <c r="AG15" s="290"/>
      <c r="AH15" s="278"/>
      <c r="AI15" s="279"/>
      <c r="AJ15" s="279"/>
      <c r="AK15" s="279"/>
      <c r="AL15" s="279"/>
      <c r="AM15" s="280"/>
      <c r="AN15" s="31"/>
      <c r="AO15" s="323"/>
      <c r="AP15" s="324"/>
      <c r="AQ15" s="324"/>
      <c r="AR15" s="324"/>
      <c r="AS15" s="324"/>
      <c r="AT15" s="325"/>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row>
    <row r="16" spans="1:99" ht="15" customHeight="1" x14ac:dyDescent="0.3">
      <c r="A16" s="31"/>
      <c r="B16" s="309"/>
      <c r="C16" s="309"/>
      <c r="D16" s="310"/>
      <c r="E16" s="301"/>
      <c r="F16" s="302"/>
      <c r="G16" s="302"/>
      <c r="H16" s="302"/>
      <c r="I16" s="307"/>
      <c r="J16" s="269" t="e">
        <f>IF(AND(#REF!="Alta",#REF!="Leve"),CONCATENATE("R",#REF!),"")</f>
        <v>#REF!</v>
      </c>
      <c r="K16" s="270"/>
      <c r="L16" s="270" t="e">
        <f>IF(AND(#REF!="Alta",#REF!="Leve"),CONCATENATE("R",#REF!),"")</f>
        <v>#REF!</v>
      </c>
      <c r="M16" s="270"/>
      <c r="N16" s="270" t="e">
        <f>IF(AND(#REF!="Alta",#REF!="Leve"),CONCATENATE("R",#REF!),"")</f>
        <v>#REF!</v>
      </c>
      <c r="O16" s="271"/>
      <c r="P16" s="269" t="e">
        <f>IF(AND(#REF!="Alta",#REF!="Menor"),CONCATENATE("R",#REF!),"")</f>
        <v>#REF!</v>
      </c>
      <c r="Q16" s="270"/>
      <c r="R16" s="270" t="e">
        <f>IF(AND(#REF!="Alta",#REF!="Menor"),CONCATENATE("R",#REF!),"")</f>
        <v>#REF!</v>
      </c>
      <c r="S16" s="270"/>
      <c r="T16" s="270" t="e">
        <f>IF(AND(#REF!="Alta",#REF!="Menor"),CONCATENATE("R",#REF!),"")</f>
        <v>#REF!</v>
      </c>
      <c r="U16" s="271"/>
      <c r="V16" s="287" t="e">
        <f>IF(AND(#REF!="Alta",#REF!="Moderado"),CONCATENATE("R",#REF!),"")</f>
        <v>#REF!</v>
      </c>
      <c r="W16" s="288"/>
      <c r="X16" s="289" t="e">
        <f>IF(AND(#REF!="Alta",#REF!="Moderado"),CONCATENATE("R",#REF!),"")</f>
        <v>#REF!</v>
      </c>
      <c r="Y16" s="289"/>
      <c r="Z16" s="289" t="e">
        <f>IF(AND(#REF!="Alta",#REF!="Moderado"),CONCATENATE("R",#REF!),"")</f>
        <v>#REF!</v>
      </c>
      <c r="AA16" s="290"/>
      <c r="AB16" s="287" t="e">
        <f>IF(AND(#REF!="Alta",#REF!="Mayor"),CONCATENATE("R",#REF!),"")</f>
        <v>#REF!</v>
      </c>
      <c r="AC16" s="288"/>
      <c r="AD16" s="289" t="e">
        <f>IF(AND(#REF!="Alta",#REF!="Mayor"),CONCATENATE("R",#REF!),"")</f>
        <v>#REF!</v>
      </c>
      <c r="AE16" s="289"/>
      <c r="AF16" s="289" t="e">
        <f>IF(AND(#REF!="Alta",#REF!="Mayor"),CONCATENATE("R",#REF!),"")</f>
        <v>#REF!</v>
      </c>
      <c r="AG16" s="290"/>
      <c r="AH16" s="278" t="e">
        <f>IF(AND(#REF!="Alta",#REF!="Catastrófico"),CONCATENATE("R",#REF!),"")</f>
        <v>#REF!</v>
      </c>
      <c r="AI16" s="279"/>
      <c r="AJ16" s="279" t="e">
        <f>IF(AND(#REF!="Alta",#REF!="Catastrófico"),CONCATENATE("R",#REF!),"")</f>
        <v>#REF!</v>
      </c>
      <c r="AK16" s="279"/>
      <c r="AL16" s="279" t="e">
        <f>IF(AND(#REF!="Alta",#REF!="Catastrófico"),CONCATENATE("R",#REF!),"")</f>
        <v>#REF!</v>
      </c>
      <c r="AM16" s="280"/>
      <c r="AN16" s="31"/>
      <c r="AO16" s="323"/>
      <c r="AP16" s="324"/>
      <c r="AQ16" s="324"/>
      <c r="AR16" s="324"/>
      <c r="AS16" s="324"/>
      <c r="AT16" s="325"/>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row>
    <row r="17" spans="1:80" ht="15" customHeight="1" x14ac:dyDescent="0.3">
      <c r="A17" s="31"/>
      <c r="B17" s="309"/>
      <c r="C17" s="309"/>
      <c r="D17" s="310"/>
      <c r="E17" s="301"/>
      <c r="F17" s="302"/>
      <c r="G17" s="302"/>
      <c r="H17" s="302"/>
      <c r="I17" s="307"/>
      <c r="J17" s="269"/>
      <c r="K17" s="270"/>
      <c r="L17" s="270"/>
      <c r="M17" s="270"/>
      <c r="N17" s="270"/>
      <c r="O17" s="271"/>
      <c r="P17" s="269"/>
      <c r="Q17" s="270"/>
      <c r="R17" s="270"/>
      <c r="S17" s="270"/>
      <c r="T17" s="270"/>
      <c r="U17" s="271"/>
      <c r="V17" s="287"/>
      <c r="W17" s="288"/>
      <c r="X17" s="289"/>
      <c r="Y17" s="289"/>
      <c r="Z17" s="289"/>
      <c r="AA17" s="290"/>
      <c r="AB17" s="287"/>
      <c r="AC17" s="288"/>
      <c r="AD17" s="289"/>
      <c r="AE17" s="289"/>
      <c r="AF17" s="289"/>
      <c r="AG17" s="290"/>
      <c r="AH17" s="278"/>
      <c r="AI17" s="279"/>
      <c r="AJ17" s="279"/>
      <c r="AK17" s="279"/>
      <c r="AL17" s="279"/>
      <c r="AM17" s="280"/>
      <c r="AN17" s="31"/>
      <c r="AO17" s="323"/>
      <c r="AP17" s="324"/>
      <c r="AQ17" s="324"/>
      <c r="AR17" s="324"/>
      <c r="AS17" s="324"/>
      <c r="AT17" s="325"/>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row>
    <row r="18" spans="1:80" ht="15" customHeight="1" x14ac:dyDescent="0.3">
      <c r="A18" s="31"/>
      <c r="B18" s="309"/>
      <c r="C18" s="309"/>
      <c r="D18" s="310"/>
      <c r="E18" s="301"/>
      <c r="F18" s="302"/>
      <c r="G18" s="302"/>
      <c r="H18" s="302"/>
      <c r="I18" s="307"/>
      <c r="J18" s="269" t="e">
        <f>IF(AND(#REF!="Alta",#REF!="Leve"),CONCATENATE("R",#REF!),"")</f>
        <v>#REF!</v>
      </c>
      <c r="K18" s="270"/>
      <c r="L18" s="270" t="e">
        <f>IF(AND(#REF!="Alta",#REF!="Leve"),CONCATENATE("R",#REF!),"")</f>
        <v>#REF!</v>
      </c>
      <c r="M18" s="270"/>
      <c r="N18" s="270" t="e">
        <f>IF(AND(#REF!="Alta",#REF!="Leve"),CONCATENATE("R",#REF!),"")</f>
        <v>#REF!</v>
      </c>
      <c r="O18" s="271"/>
      <c r="P18" s="269" t="e">
        <f>IF(AND(#REF!="Alta",#REF!="Menor"),CONCATENATE("R",#REF!),"")</f>
        <v>#REF!</v>
      </c>
      <c r="Q18" s="270"/>
      <c r="R18" s="270" t="e">
        <f>IF(AND(#REF!="Alta",#REF!="Menor"),CONCATENATE("R",#REF!),"")</f>
        <v>#REF!</v>
      </c>
      <c r="S18" s="270"/>
      <c r="T18" s="270" t="e">
        <f>IF(AND(#REF!="Alta",#REF!="Menor"),CONCATENATE("R",#REF!),"")</f>
        <v>#REF!</v>
      </c>
      <c r="U18" s="271"/>
      <c r="V18" s="287" t="e">
        <f>IF(AND(#REF!="Alta",#REF!="Moderado"),CONCATENATE("R",#REF!),"")</f>
        <v>#REF!</v>
      </c>
      <c r="W18" s="288"/>
      <c r="X18" s="289" t="e">
        <f>IF(AND(#REF!="Alta",#REF!="Moderado"),CONCATENATE("R",#REF!),"")</f>
        <v>#REF!</v>
      </c>
      <c r="Y18" s="289"/>
      <c r="Z18" s="289" t="e">
        <f>IF(AND(#REF!="Alta",#REF!="Moderado"),CONCATENATE("R",#REF!),"")</f>
        <v>#REF!</v>
      </c>
      <c r="AA18" s="290"/>
      <c r="AB18" s="287" t="e">
        <f>IF(AND(#REF!="Alta",#REF!="Mayor"),CONCATENATE("R",#REF!),"")</f>
        <v>#REF!</v>
      </c>
      <c r="AC18" s="288"/>
      <c r="AD18" s="289" t="e">
        <f>IF(AND(#REF!="Alta",#REF!="Mayor"),CONCATENATE("R",#REF!),"")</f>
        <v>#REF!</v>
      </c>
      <c r="AE18" s="289"/>
      <c r="AF18" s="289" t="e">
        <f>IF(AND(#REF!="Alta",#REF!="Mayor"),CONCATENATE("R",#REF!),"")</f>
        <v>#REF!</v>
      </c>
      <c r="AG18" s="290"/>
      <c r="AH18" s="278" t="e">
        <f>IF(AND(#REF!="Alta",#REF!="Catastrófico"),CONCATENATE("R",#REF!),"")</f>
        <v>#REF!</v>
      </c>
      <c r="AI18" s="279"/>
      <c r="AJ18" s="279" t="e">
        <f>IF(AND(#REF!="Alta",#REF!="Catastrófico"),CONCATENATE("R",#REF!),"")</f>
        <v>#REF!</v>
      </c>
      <c r="AK18" s="279"/>
      <c r="AL18" s="279" t="e">
        <f>IF(AND(#REF!="Alta",#REF!="Catastrófico"),CONCATENATE("R",#REF!),"")</f>
        <v>#REF!</v>
      </c>
      <c r="AM18" s="280"/>
      <c r="AN18" s="31"/>
      <c r="AO18" s="323"/>
      <c r="AP18" s="324"/>
      <c r="AQ18" s="324"/>
      <c r="AR18" s="324"/>
      <c r="AS18" s="324"/>
      <c r="AT18" s="325"/>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row>
    <row r="19" spans="1:80" ht="15" customHeight="1" x14ac:dyDescent="0.3">
      <c r="A19" s="31"/>
      <c r="B19" s="309"/>
      <c r="C19" s="309"/>
      <c r="D19" s="310"/>
      <c r="E19" s="301"/>
      <c r="F19" s="302"/>
      <c r="G19" s="302"/>
      <c r="H19" s="302"/>
      <c r="I19" s="307"/>
      <c r="J19" s="269"/>
      <c r="K19" s="270"/>
      <c r="L19" s="270"/>
      <c r="M19" s="270"/>
      <c r="N19" s="270"/>
      <c r="O19" s="271"/>
      <c r="P19" s="269"/>
      <c r="Q19" s="270"/>
      <c r="R19" s="270"/>
      <c r="S19" s="270"/>
      <c r="T19" s="270"/>
      <c r="U19" s="271"/>
      <c r="V19" s="287"/>
      <c r="W19" s="288"/>
      <c r="X19" s="289"/>
      <c r="Y19" s="289"/>
      <c r="Z19" s="289"/>
      <c r="AA19" s="290"/>
      <c r="AB19" s="287"/>
      <c r="AC19" s="288"/>
      <c r="AD19" s="289"/>
      <c r="AE19" s="289"/>
      <c r="AF19" s="289"/>
      <c r="AG19" s="290"/>
      <c r="AH19" s="278"/>
      <c r="AI19" s="279"/>
      <c r="AJ19" s="279"/>
      <c r="AK19" s="279"/>
      <c r="AL19" s="279"/>
      <c r="AM19" s="280"/>
      <c r="AN19" s="31"/>
      <c r="AO19" s="323"/>
      <c r="AP19" s="324"/>
      <c r="AQ19" s="324"/>
      <c r="AR19" s="324"/>
      <c r="AS19" s="324"/>
      <c r="AT19" s="325"/>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row>
    <row r="20" spans="1:80" ht="15" customHeight="1" x14ac:dyDescent="0.3">
      <c r="A20" s="31"/>
      <c r="B20" s="309"/>
      <c r="C20" s="309"/>
      <c r="D20" s="310"/>
      <c r="E20" s="301"/>
      <c r="F20" s="302"/>
      <c r="G20" s="302"/>
      <c r="H20" s="302"/>
      <c r="I20" s="307"/>
      <c r="J20" s="269" t="e">
        <f>IF(AND(#REF!="Alta",#REF!="Leve"),CONCATENATE("R",#REF!),"")</f>
        <v>#REF!</v>
      </c>
      <c r="K20" s="270"/>
      <c r="L20" s="270" t="e">
        <f>IF(AND(#REF!="Alta",#REF!="Leve"),CONCATENATE("R",#REF!),"")</f>
        <v>#REF!</v>
      </c>
      <c r="M20" s="270"/>
      <c r="N20" s="270" t="e">
        <f>IF(AND(#REF!="Alta",#REF!="Leve"),CONCATENATE("R",#REF!),"")</f>
        <v>#REF!</v>
      </c>
      <c r="O20" s="271"/>
      <c r="P20" s="269" t="e">
        <f>IF(AND(#REF!="Alta",#REF!="Menor"),CONCATENATE("R",#REF!),"")</f>
        <v>#REF!</v>
      </c>
      <c r="Q20" s="270"/>
      <c r="R20" s="270" t="e">
        <f>IF(AND(#REF!="Alta",#REF!="Menor"),CONCATENATE("R",#REF!),"")</f>
        <v>#REF!</v>
      </c>
      <c r="S20" s="270"/>
      <c r="T20" s="270" t="e">
        <f>IF(AND(#REF!="Alta",#REF!="Menor"),CONCATENATE("R",#REF!),"")</f>
        <v>#REF!</v>
      </c>
      <c r="U20" s="271"/>
      <c r="V20" s="287" t="e">
        <f>IF(AND(#REF!="Alta",#REF!="Moderado"),CONCATENATE("R",#REF!),"")</f>
        <v>#REF!</v>
      </c>
      <c r="W20" s="288"/>
      <c r="X20" s="289" t="e">
        <f>IF(AND(#REF!="Alta",#REF!="Moderado"),CONCATENATE("R",#REF!),"")</f>
        <v>#REF!</v>
      </c>
      <c r="Y20" s="289"/>
      <c r="Z20" s="289" t="e">
        <f>IF(AND(#REF!="Alta",#REF!="Moderado"),CONCATENATE("R",#REF!),"")</f>
        <v>#REF!</v>
      </c>
      <c r="AA20" s="290"/>
      <c r="AB20" s="287" t="e">
        <f>IF(AND(#REF!="Alta",#REF!="Mayor"),CONCATENATE("R",#REF!),"")</f>
        <v>#REF!</v>
      </c>
      <c r="AC20" s="288"/>
      <c r="AD20" s="289" t="e">
        <f>IF(AND(#REF!="Alta",#REF!="Mayor"),CONCATENATE("R",#REF!),"")</f>
        <v>#REF!</v>
      </c>
      <c r="AE20" s="289"/>
      <c r="AF20" s="289" t="e">
        <f>IF(AND(#REF!="Alta",#REF!="Mayor"),CONCATENATE("R",#REF!),"")</f>
        <v>#REF!</v>
      </c>
      <c r="AG20" s="290"/>
      <c r="AH20" s="278" t="e">
        <f>IF(AND(#REF!="Alta",#REF!="Catastrófico"),CONCATENATE("R",#REF!),"")</f>
        <v>#REF!</v>
      </c>
      <c r="AI20" s="279"/>
      <c r="AJ20" s="279" t="e">
        <f>IF(AND(#REF!="Alta",#REF!="Catastrófico"),CONCATENATE("R",#REF!),"")</f>
        <v>#REF!</v>
      </c>
      <c r="AK20" s="279"/>
      <c r="AL20" s="279" t="e">
        <f>IF(AND(#REF!="Alta",#REF!="Catastrófico"),CONCATENATE("R",#REF!),"")</f>
        <v>#REF!</v>
      </c>
      <c r="AM20" s="280"/>
      <c r="AN20" s="31"/>
      <c r="AO20" s="323"/>
      <c r="AP20" s="324"/>
      <c r="AQ20" s="324"/>
      <c r="AR20" s="324"/>
      <c r="AS20" s="324"/>
      <c r="AT20" s="325"/>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row>
    <row r="21" spans="1:80" ht="15.75" customHeight="1" thickBot="1" x14ac:dyDescent="0.35">
      <c r="A21" s="31"/>
      <c r="B21" s="309"/>
      <c r="C21" s="309"/>
      <c r="D21" s="310"/>
      <c r="E21" s="304"/>
      <c r="F21" s="305"/>
      <c r="G21" s="305"/>
      <c r="H21" s="305"/>
      <c r="I21" s="305"/>
      <c r="J21" s="272"/>
      <c r="K21" s="273"/>
      <c r="L21" s="273"/>
      <c r="M21" s="273"/>
      <c r="N21" s="273"/>
      <c r="O21" s="274"/>
      <c r="P21" s="272"/>
      <c r="Q21" s="273"/>
      <c r="R21" s="273"/>
      <c r="S21" s="273"/>
      <c r="T21" s="273"/>
      <c r="U21" s="274"/>
      <c r="V21" s="291"/>
      <c r="W21" s="292"/>
      <c r="X21" s="292"/>
      <c r="Y21" s="292"/>
      <c r="Z21" s="292"/>
      <c r="AA21" s="293"/>
      <c r="AB21" s="291"/>
      <c r="AC21" s="292"/>
      <c r="AD21" s="292"/>
      <c r="AE21" s="292"/>
      <c r="AF21" s="292"/>
      <c r="AG21" s="293"/>
      <c r="AH21" s="281"/>
      <c r="AI21" s="282"/>
      <c r="AJ21" s="282"/>
      <c r="AK21" s="282"/>
      <c r="AL21" s="282"/>
      <c r="AM21" s="283"/>
      <c r="AN21" s="31"/>
      <c r="AO21" s="326"/>
      <c r="AP21" s="327"/>
      <c r="AQ21" s="327"/>
      <c r="AR21" s="327"/>
      <c r="AS21" s="327"/>
      <c r="AT21" s="328"/>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row>
    <row r="22" spans="1:80" x14ac:dyDescent="0.3">
      <c r="A22" s="31"/>
      <c r="B22" s="309"/>
      <c r="C22" s="309"/>
      <c r="D22" s="310"/>
      <c r="E22" s="298" t="s">
        <v>91</v>
      </c>
      <c r="F22" s="299"/>
      <c r="G22" s="299"/>
      <c r="H22" s="299"/>
      <c r="I22" s="300"/>
      <c r="J22" s="275" t="e">
        <f>IF(AND(#REF!="Media",#REF!="Leve"),CONCATENATE("R",#REF!),"")</f>
        <v>#REF!</v>
      </c>
      <c r="K22" s="276"/>
      <c r="L22" s="276" t="e">
        <f>IF(AND(#REF!="Media",#REF!="Leve"),CONCATENATE("R",#REF!),"")</f>
        <v>#REF!</v>
      </c>
      <c r="M22" s="276"/>
      <c r="N22" s="276" t="e">
        <f>IF(AND(#REF!="Media",#REF!="Leve"),CONCATENATE("R",#REF!),"")</f>
        <v>#REF!</v>
      </c>
      <c r="O22" s="277"/>
      <c r="P22" s="275" t="e">
        <f>IF(AND(#REF!="Media",#REF!="Menor"),CONCATENATE("R",#REF!),"")</f>
        <v>#REF!</v>
      </c>
      <c r="Q22" s="276"/>
      <c r="R22" s="276" t="e">
        <f>IF(AND(#REF!="Media",#REF!="Menor"),CONCATENATE("R",#REF!),"")</f>
        <v>#REF!</v>
      </c>
      <c r="S22" s="276"/>
      <c r="T22" s="276" t="e">
        <f>IF(AND(#REF!="Media",#REF!="Menor"),CONCATENATE("R",#REF!),"")</f>
        <v>#REF!</v>
      </c>
      <c r="U22" s="277"/>
      <c r="V22" s="275" t="e">
        <f>IF(AND(#REF!="Media",#REF!="Moderado"),CONCATENATE("R",#REF!),"")</f>
        <v>#REF!</v>
      </c>
      <c r="W22" s="276"/>
      <c r="X22" s="276" t="e">
        <f>IF(AND(#REF!="Media",#REF!="Moderado"),CONCATENATE("R",#REF!),"")</f>
        <v>#REF!</v>
      </c>
      <c r="Y22" s="276"/>
      <c r="Z22" s="276" t="e">
        <f>IF(AND(#REF!="Media",#REF!="Moderado"),CONCATENATE("R",#REF!),"")</f>
        <v>#REF!</v>
      </c>
      <c r="AA22" s="277"/>
      <c r="AB22" s="294" t="e">
        <f>IF(AND(#REF!="Media",#REF!="Mayor"),CONCATENATE("R",#REF!),"")</f>
        <v>#REF!</v>
      </c>
      <c r="AC22" s="295"/>
      <c r="AD22" s="295" t="e">
        <f>IF(AND(#REF!="Media",#REF!="Mayor"),CONCATENATE("R",#REF!),"")</f>
        <v>#REF!</v>
      </c>
      <c r="AE22" s="295"/>
      <c r="AF22" s="295" t="e">
        <f>IF(AND(#REF!="Media",#REF!="Mayor"),CONCATENATE("R",#REF!),"")</f>
        <v>#REF!</v>
      </c>
      <c r="AG22" s="296"/>
      <c r="AH22" s="284" t="e">
        <f>IF(AND(#REF!="Media",#REF!="Catastrófico"),CONCATENATE("R",#REF!),"")</f>
        <v>#REF!</v>
      </c>
      <c r="AI22" s="285"/>
      <c r="AJ22" s="285" t="e">
        <f>IF(AND(#REF!="Media",#REF!="Catastrófico"),CONCATENATE("R",#REF!),"")</f>
        <v>#REF!</v>
      </c>
      <c r="AK22" s="285"/>
      <c r="AL22" s="285" t="e">
        <f>IF(AND(#REF!="Media",#REF!="Catastrófico"),CONCATENATE("R",#REF!),"")</f>
        <v>#REF!</v>
      </c>
      <c r="AM22" s="286"/>
      <c r="AN22" s="31"/>
      <c r="AO22" s="329" t="s">
        <v>56</v>
      </c>
      <c r="AP22" s="330"/>
      <c r="AQ22" s="330"/>
      <c r="AR22" s="330"/>
      <c r="AS22" s="330"/>
      <c r="AT22" s="3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row>
    <row r="23" spans="1:80" x14ac:dyDescent="0.3">
      <c r="A23" s="31"/>
      <c r="B23" s="309"/>
      <c r="C23" s="309"/>
      <c r="D23" s="310"/>
      <c r="E23" s="301"/>
      <c r="F23" s="302"/>
      <c r="G23" s="302"/>
      <c r="H23" s="302"/>
      <c r="I23" s="303"/>
      <c r="J23" s="269"/>
      <c r="K23" s="270"/>
      <c r="L23" s="270"/>
      <c r="M23" s="270"/>
      <c r="N23" s="270"/>
      <c r="O23" s="271"/>
      <c r="P23" s="269"/>
      <c r="Q23" s="270"/>
      <c r="R23" s="270"/>
      <c r="S23" s="270"/>
      <c r="T23" s="270"/>
      <c r="U23" s="271"/>
      <c r="V23" s="269"/>
      <c r="W23" s="270"/>
      <c r="X23" s="270"/>
      <c r="Y23" s="270"/>
      <c r="Z23" s="270"/>
      <c r="AA23" s="271"/>
      <c r="AB23" s="287"/>
      <c r="AC23" s="288"/>
      <c r="AD23" s="288"/>
      <c r="AE23" s="288"/>
      <c r="AF23" s="288"/>
      <c r="AG23" s="290"/>
      <c r="AH23" s="278"/>
      <c r="AI23" s="279"/>
      <c r="AJ23" s="279"/>
      <c r="AK23" s="279"/>
      <c r="AL23" s="279"/>
      <c r="AM23" s="280"/>
      <c r="AN23" s="31"/>
      <c r="AO23" s="332"/>
      <c r="AP23" s="333"/>
      <c r="AQ23" s="333"/>
      <c r="AR23" s="333"/>
      <c r="AS23" s="333"/>
      <c r="AT23" s="334"/>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row>
    <row r="24" spans="1:80" x14ac:dyDescent="0.3">
      <c r="A24" s="31"/>
      <c r="B24" s="309"/>
      <c r="C24" s="309"/>
      <c r="D24" s="310"/>
      <c r="E24" s="301"/>
      <c r="F24" s="302"/>
      <c r="G24" s="302"/>
      <c r="H24" s="302"/>
      <c r="I24" s="303"/>
      <c r="J24" s="269" t="e">
        <f>IF(AND(#REF!="Media",#REF!="Leve"),CONCATENATE("R",#REF!),"")</f>
        <v>#REF!</v>
      </c>
      <c r="K24" s="270"/>
      <c r="L24" s="270" t="e">
        <f>IF(AND(#REF!="Media",#REF!="Leve"),CONCATENATE("R",#REF!),"")</f>
        <v>#REF!</v>
      </c>
      <c r="M24" s="270"/>
      <c r="N24" s="270" t="e">
        <f>IF(AND(#REF!="Media",#REF!="Leve"),CONCATENATE("R",#REF!),"")</f>
        <v>#REF!</v>
      </c>
      <c r="O24" s="271"/>
      <c r="P24" s="269" t="e">
        <f>IF(AND(#REF!="Media",#REF!="Menor"),CONCATENATE("R",#REF!),"")</f>
        <v>#REF!</v>
      </c>
      <c r="Q24" s="270"/>
      <c r="R24" s="270" t="e">
        <f>IF(AND(#REF!="Media",#REF!="Menor"),CONCATENATE("R",#REF!),"")</f>
        <v>#REF!</v>
      </c>
      <c r="S24" s="270"/>
      <c r="T24" s="270" t="e">
        <f>IF(AND(#REF!="Media",#REF!="Menor"),CONCATENATE("R",#REF!),"")</f>
        <v>#REF!</v>
      </c>
      <c r="U24" s="271"/>
      <c r="V24" s="269" t="e">
        <f>IF(AND(#REF!="Media",#REF!="Moderado"),CONCATENATE("R",#REF!),"")</f>
        <v>#REF!</v>
      </c>
      <c r="W24" s="270"/>
      <c r="X24" s="270" t="e">
        <f>IF(AND(#REF!="Media",#REF!="Moderado"),CONCATENATE("R",#REF!),"")</f>
        <v>#REF!</v>
      </c>
      <c r="Y24" s="270"/>
      <c r="Z24" s="270" t="e">
        <f>IF(AND(#REF!="Media",#REF!="Moderado"),CONCATENATE("R",#REF!),"")</f>
        <v>#REF!</v>
      </c>
      <c r="AA24" s="271"/>
      <c r="AB24" s="287" t="e">
        <f>IF(AND(#REF!="Media",#REF!="Mayor"),CONCATENATE("R",#REF!),"")</f>
        <v>#REF!</v>
      </c>
      <c r="AC24" s="288"/>
      <c r="AD24" s="289" t="e">
        <f>IF(AND(#REF!="Media",#REF!="Mayor"),CONCATENATE("R",#REF!),"")</f>
        <v>#REF!</v>
      </c>
      <c r="AE24" s="289"/>
      <c r="AF24" s="289" t="e">
        <f>IF(AND(#REF!="Media",#REF!="Mayor"),CONCATENATE("R",#REF!),"")</f>
        <v>#REF!</v>
      </c>
      <c r="AG24" s="290"/>
      <c r="AH24" s="278" t="e">
        <f>IF(AND(#REF!="Media",#REF!="Catastrófico"),CONCATENATE("R",#REF!),"")</f>
        <v>#REF!</v>
      </c>
      <c r="AI24" s="279"/>
      <c r="AJ24" s="279" t="e">
        <f>IF(AND(#REF!="Media",#REF!="Catastrófico"),CONCATENATE("R",#REF!),"")</f>
        <v>#REF!</v>
      </c>
      <c r="AK24" s="279"/>
      <c r="AL24" s="279" t="e">
        <f>IF(AND(#REF!="Media",#REF!="Catastrófico"),CONCATENATE("R",#REF!),"")</f>
        <v>#REF!</v>
      </c>
      <c r="AM24" s="280"/>
      <c r="AN24" s="31"/>
      <c r="AO24" s="332"/>
      <c r="AP24" s="333"/>
      <c r="AQ24" s="333"/>
      <c r="AR24" s="333"/>
      <c r="AS24" s="333"/>
      <c r="AT24" s="334"/>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row>
    <row r="25" spans="1:80" x14ac:dyDescent="0.3">
      <c r="A25" s="31"/>
      <c r="B25" s="309"/>
      <c r="C25" s="309"/>
      <c r="D25" s="310"/>
      <c r="E25" s="301"/>
      <c r="F25" s="302"/>
      <c r="G25" s="302"/>
      <c r="H25" s="302"/>
      <c r="I25" s="303"/>
      <c r="J25" s="269"/>
      <c r="K25" s="270"/>
      <c r="L25" s="270"/>
      <c r="M25" s="270"/>
      <c r="N25" s="270"/>
      <c r="O25" s="271"/>
      <c r="P25" s="269"/>
      <c r="Q25" s="270"/>
      <c r="R25" s="270"/>
      <c r="S25" s="270"/>
      <c r="T25" s="270"/>
      <c r="U25" s="271"/>
      <c r="V25" s="269"/>
      <c r="W25" s="270"/>
      <c r="X25" s="270"/>
      <c r="Y25" s="270"/>
      <c r="Z25" s="270"/>
      <c r="AA25" s="271"/>
      <c r="AB25" s="287"/>
      <c r="AC25" s="288"/>
      <c r="AD25" s="289"/>
      <c r="AE25" s="289"/>
      <c r="AF25" s="289"/>
      <c r="AG25" s="290"/>
      <c r="AH25" s="278"/>
      <c r="AI25" s="279"/>
      <c r="AJ25" s="279"/>
      <c r="AK25" s="279"/>
      <c r="AL25" s="279"/>
      <c r="AM25" s="280"/>
      <c r="AN25" s="31"/>
      <c r="AO25" s="332"/>
      <c r="AP25" s="333"/>
      <c r="AQ25" s="333"/>
      <c r="AR25" s="333"/>
      <c r="AS25" s="333"/>
      <c r="AT25" s="334"/>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row>
    <row r="26" spans="1:80" x14ac:dyDescent="0.3">
      <c r="A26" s="31"/>
      <c r="B26" s="309"/>
      <c r="C26" s="309"/>
      <c r="D26" s="310"/>
      <c r="E26" s="301"/>
      <c r="F26" s="302"/>
      <c r="G26" s="302"/>
      <c r="H26" s="302"/>
      <c r="I26" s="303"/>
      <c r="J26" s="269" t="e">
        <f>IF(AND(#REF!="Media",#REF!="Leve"),CONCATENATE("R",#REF!),"")</f>
        <v>#REF!</v>
      </c>
      <c r="K26" s="270"/>
      <c r="L26" s="270" t="e">
        <f>IF(AND(#REF!="Media",#REF!="Leve"),CONCATENATE("R",#REF!),"")</f>
        <v>#REF!</v>
      </c>
      <c r="M26" s="270"/>
      <c r="N26" s="270" t="e">
        <f>IF(AND(#REF!="Media",#REF!="Leve"),CONCATENATE("R",#REF!),"")</f>
        <v>#REF!</v>
      </c>
      <c r="O26" s="271"/>
      <c r="P26" s="269" t="e">
        <f>IF(AND(#REF!="Media",#REF!="Menor"),CONCATENATE("R",#REF!),"")</f>
        <v>#REF!</v>
      </c>
      <c r="Q26" s="270"/>
      <c r="R26" s="270" t="e">
        <f>IF(AND(#REF!="Media",#REF!="Menor"),CONCATENATE("R",#REF!),"")</f>
        <v>#REF!</v>
      </c>
      <c r="S26" s="270"/>
      <c r="T26" s="270" t="e">
        <f>IF(AND(#REF!="Media",#REF!="Menor"),CONCATENATE("R",#REF!),"")</f>
        <v>#REF!</v>
      </c>
      <c r="U26" s="271"/>
      <c r="V26" s="269" t="e">
        <f>IF(AND(#REF!="Media",#REF!="Moderado"),CONCATENATE("R",#REF!),"")</f>
        <v>#REF!</v>
      </c>
      <c r="W26" s="270"/>
      <c r="X26" s="270" t="e">
        <f>IF(AND(#REF!="Media",#REF!="Moderado"),CONCATENATE("R",#REF!),"")</f>
        <v>#REF!</v>
      </c>
      <c r="Y26" s="270"/>
      <c r="Z26" s="270" t="e">
        <f>IF(AND(#REF!="Media",#REF!="Moderado"),CONCATENATE("R",#REF!),"")</f>
        <v>#REF!</v>
      </c>
      <c r="AA26" s="271"/>
      <c r="AB26" s="287" t="e">
        <f>IF(AND(#REF!="Media",#REF!="Mayor"),CONCATENATE("R",#REF!),"")</f>
        <v>#REF!</v>
      </c>
      <c r="AC26" s="288"/>
      <c r="AD26" s="289" t="e">
        <f>IF(AND(#REF!="Media",#REF!="Mayor"),CONCATENATE("R",#REF!),"")</f>
        <v>#REF!</v>
      </c>
      <c r="AE26" s="289"/>
      <c r="AF26" s="289" t="e">
        <f>IF(AND(#REF!="Media",#REF!="Mayor"),CONCATENATE("R",#REF!),"")</f>
        <v>#REF!</v>
      </c>
      <c r="AG26" s="290"/>
      <c r="AH26" s="278" t="e">
        <f>IF(AND(#REF!="Media",#REF!="Catastrófico"),CONCATENATE("R",#REF!),"")</f>
        <v>#REF!</v>
      </c>
      <c r="AI26" s="279"/>
      <c r="AJ26" s="279" t="e">
        <f>IF(AND(#REF!="Media",#REF!="Catastrófico"),CONCATENATE("R",#REF!),"")</f>
        <v>#REF!</v>
      </c>
      <c r="AK26" s="279"/>
      <c r="AL26" s="279" t="e">
        <f>IF(AND(#REF!="Media",#REF!="Catastrófico"),CONCATENATE("R",#REF!),"")</f>
        <v>#REF!</v>
      </c>
      <c r="AM26" s="280"/>
      <c r="AN26" s="31"/>
      <c r="AO26" s="332"/>
      <c r="AP26" s="333"/>
      <c r="AQ26" s="333"/>
      <c r="AR26" s="333"/>
      <c r="AS26" s="333"/>
      <c r="AT26" s="334"/>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row>
    <row r="27" spans="1:80" x14ac:dyDescent="0.3">
      <c r="A27" s="31"/>
      <c r="B27" s="309"/>
      <c r="C27" s="309"/>
      <c r="D27" s="310"/>
      <c r="E27" s="301"/>
      <c r="F27" s="302"/>
      <c r="G27" s="302"/>
      <c r="H27" s="302"/>
      <c r="I27" s="303"/>
      <c r="J27" s="269"/>
      <c r="K27" s="270"/>
      <c r="L27" s="270"/>
      <c r="M27" s="270"/>
      <c r="N27" s="270"/>
      <c r="O27" s="271"/>
      <c r="P27" s="269"/>
      <c r="Q27" s="270"/>
      <c r="R27" s="270"/>
      <c r="S27" s="270"/>
      <c r="T27" s="270"/>
      <c r="U27" s="271"/>
      <c r="V27" s="269"/>
      <c r="W27" s="270"/>
      <c r="X27" s="270"/>
      <c r="Y27" s="270"/>
      <c r="Z27" s="270"/>
      <c r="AA27" s="271"/>
      <c r="AB27" s="287"/>
      <c r="AC27" s="288"/>
      <c r="AD27" s="289"/>
      <c r="AE27" s="289"/>
      <c r="AF27" s="289"/>
      <c r="AG27" s="290"/>
      <c r="AH27" s="278"/>
      <c r="AI27" s="279"/>
      <c r="AJ27" s="279"/>
      <c r="AK27" s="279"/>
      <c r="AL27" s="279"/>
      <c r="AM27" s="280"/>
      <c r="AN27" s="31"/>
      <c r="AO27" s="332"/>
      <c r="AP27" s="333"/>
      <c r="AQ27" s="333"/>
      <c r="AR27" s="333"/>
      <c r="AS27" s="333"/>
      <c r="AT27" s="334"/>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row>
    <row r="28" spans="1:80" x14ac:dyDescent="0.3">
      <c r="A28" s="31"/>
      <c r="B28" s="309"/>
      <c r="C28" s="309"/>
      <c r="D28" s="310"/>
      <c r="E28" s="301"/>
      <c r="F28" s="302"/>
      <c r="G28" s="302"/>
      <c r="H28" s="302"/>
      <c r="I28" s="303"/>
      <c r="J28" s="269" t="e">
        <f>IF(AND(#REF!="Media",#REF!="Leve"),CONCATENATE("R",#REF!),"")</f>
        <v>#REF!</v>
      </c>
      <c r="K28" s="270"/>
      <c r="L28" s="270" t="e">
        <f>IF(AND(#REF!="Media",#REF!="Leve"),CONCATENATE("R",#REF!),"")</f>
        <v>#REF!</v>
      </c>
      <c r="M28" s="270"/>
      <c r="N28" s="270" t="e">
        <f>IF(AND(#REF!="Media",#REF!="Leve"),CONCATENATE("R",#REF!),"")</f>
        <v>#REF!</v>
      </c>
      <c r="O28" s="271"/>
      <c r="P28" s="269" t="e">
        <f>IF(AND(#REF!="Media",#REF!="Menor"),CONCATENATE("R",#REF!),"")</f>
        <v>#REF!</v>
      </c>
      <c r="Q28" s="270"/>
      <c r="R28" s="270" t="e">
        <f>IF(AND(#REF!="Media",#REF!="Menor"),CONCATENATE("R",#REF!),"")</f>
        <v>#REF!</v>
      </c>
      <c r="S28" s="270"/>
      <c r="T28" s="270" t="e">
        <f>IF(AND(#REF!="Media",#REF!="Menor"),CONCATENATE("R",#REF!),"")</f>
        <v>#REF!</v>
      </c>
      <c r="U28" s="271"/>
      <c r="V28" s="269" t="e">
        <f>IF(AND(#REF!="Media",#REF!="Moderado"),CONCATENATE("R",#REF!),"")</f>
        <v>#REF!</v>
      </c>
      <c r="W28" s="270"/>
      <c r="X28" s="270" t="e">
        <f>IF(AND(#REF!="Media",#REF!="Moderado"),CONCATENATE("R",#REF!),"")</f>
        <v>#REF!</v>
      </c>
      <c r="Y28" s="270"/>
      <c r="Z28" s="270" t="e">
        <f>IF(AND(#REF!="Media",#REF!="Moderado"),CONCATENATE("R",#REF!),"")</f>
        <v>#REF!</v>
      </c>
      <c r="AA28" s="271"/>
      <c r="AB28" s="287" t="e">
        <f>IF(AND(#REF!="Media",#REF!="Mayor"),CONCATENATE("R",#REF!),"")</f>
        <v>#REF!</v>
      </c>
      <c r="AC28" s="288"/>
      <c r="AD28" s="289" t="e">
        <f>IF(AND(#REF!="Media",#REF!="Mayor"),CONCATENATE("R",#REF!),"")</f>
        <v>#REF!</v>
      </c>
      <c r="AE28" s="289"/>
      <c r="AF28" s="289" t="e">
        <f>IF(AND(#REF!="Media",#REF!="Mayor"),CONCATENATE("R",#REF!),"")</f>
        <v>#REF!</v>
      </c>
      <c r="AG28" s="290"/>
      <c r="AH28" s="278" t="e">
        <f>IF(AND(#REF!="Media",#REF!="Catastrófico"),CONCATENATE("R",#REF!),"")</f>
        <v>#REF!</v>
      </c>
      <c r="AI28" s="279"/>
      <c r="AJ28" s="279" t="e">
        <f>IF(AND(#REF!="Media",#REF!="Catastrófico"),CONCATENATE("R",#REF!),"")</f>
        <v>#REF!</v>
      </c>
      <c r="AK28" s="279"/>
      <c r="AL28" s="279" t="e">
        <f>IF(AND(#REF!="Media",#REF!="Catastrófico"),CONCATENATE("R",#REF!),"")</f>
        <v>#REF!</v>
      </c>
      <c r="AM28" s="280"/>
      <c r="AN28" s="31"/>
      <c r="AO28" s="332"/>
      <c r="AP28" s="333"/>
      <c r="AQ28" s="333"/>
      <c r="AR28" s="333"/>
      <c r="AS28" s="333"/>
      <c r="AT28" s="334"/>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row>
    <row r="29" spans="1:80" ht="15" thickBot="1" x14ac:dyDescent="0.35">
      <c r="A29" s="31"/>
      <c r="B29" s="309"/>
      <c r="C29" s="309"/>
      <c r="D29" s="310"/>
      <c r="E29" s="304"/>
      <c r="F29" s="305"/>
      <c r="G29" s="305"/>
      <c r="H29" s="305"/>
      <c r="I29" s="306"/>
      <c r="J29" s="269"/>
      <c r="K29" s="270"/>
      <c r="L29" s="270"/>
      <c r="M29" s="270"/>
      <c r="N29" s="270"/>
      <c r="O29" s="271"/>
      <c r="P29" s="272"/>
      <c r="Q29" s="273"/>
      <c r="R29" s="273"/>
      <c r="S29" s="273"/>
      <c r="T29" s="273"/>
      <c r="U29" s="274"/>
      <c r="V29" s="272"/>
      <c r="W29" s="273"/>
      <c r="X29" s="273"/>
      <c r="Y29" s="273"/>
      <c r="Z29" s="273"/>
      <c r="AA29" s="274"/>
      <c r="AB29" s="291"/>
      <c r="AC29" s="292"/>
      <c r="AD29" s="292"/>
      <c r="AE29" s="292"/>
      <c r="AF29" s="292"/>
      <c r="AG29" s="293"/>
      <c r="AH29" s="281"/>
      <c r="AI29" s="282"/>
      <c r="AJ29" s="282"/>
      <c r="AK29" s="282"/>
      <c r="AL29" s="282"/>
      <c r="AM29" s="283"/>
      <c r="AN29" s="31"/>
      <c r="AO29" s="335"/>
      <c r="AP29" s="336"/>
      <c r="AQ29" s="336"/>
      <c r="AR29" s="336"/>
      <c r="AS29" s="336"/>
      <c r="AT29" s="337"/>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row>
    <row r="30" spans="1:80" x14ac:dyDescent="0.3">
      <c r="A30" s="31"/>
      <c r="B30" s="309"/>
      <c r="C30" s="309"/>
      <c r="D30" s="310"/>
      <c r="E30" s="298" t="s">
        <v>88</v>
      </c>
      <c r="F30" s="299"/>
      <c r="G30" s="299"/>
      <c r="H30" s="299"/>
      <c r="I30" s="299"/>
      <c r="J30" s="266" t="e">
        <f>IF(AND(#REF!="Baja",#REF!="Leve"),CONCATENATE("R",#REF!),"")</f>
        <v>#REF!</v>
      </c>
      <c r="K30" s="267"/>
      <c r="L30" s="267" t="e">
        <f>IF(AND(#REF!="Baja",#REF!="Leve"),CONCATENATE("R",#REF!),"")</f>
        <v>#REF!</v>
      </c>
      <c r="M30" s="267"/>
      <c r="N30" s="267" t="e">
        <f>IF(AND(#REF!="Baja",#REF!="Leve"),CONCATENATE("R",#REF!),"")</f>
        <v>#REF!</v>
      </c>
      <c r="O30" s="268"/>
      <c r="P30" s="276" t="e">
        <f>IF(AND(#REF!="Baja",#REF!="Menor"),CONCATENATE("R",#REF!),"")</f>
        <v>#REF!</v>
      </c>
      <c r="Q30" s="276"/>
      <c r="R30" s="276" t="e">
        <f>IF(AND(#REF!="Baja",#REF!="Menor"),CONCATENATE("R",#REF!),"")</f>
        <v>#REF!</v>
      </c>
      <c r="S30" s="276"/>
      <c r="T30" s="276" t="e">
        <f>IF(AND(#REF!="Baja",#REF!="Menor"),CONCATENATE("R",#REF!),"")</f>
        <v>#REF!</v>
      </c>
      <c r="U30" s="277"/>
      <c r="V30" s="275" t="e">
        <f>IF(AND(#REF!="Baja",#REF!="Moderado"),CONCATENATE("R",#REF!),"")</f>
        <v>#REF!</v>
      </c>
      <c r="W30" s="276"/>
      <c r="X30" s="276" t="e">
        <f>IF(AND(#REF!="Baja",#REF!="Moderado"),CONCATENATE("R",#REF!),"")</f>
        <v>#REF!</v>
      </c>
      <c r="Y30" s="276"/>
      <c r="Z30" s="276" t="e">
        <f>IF(AND(#REF!="Baja",#REF!="Moderado"),CONCATENATE("R",#REF!),"")</f>
        <v>#REF!</v>
      </c>
      <c r="AA30" s="277"/>
      <c r="AB30" s="294" t="e">
        <f>IF(AND(#REF!="Baja",#REF!="Mayor"),CONCATENATE("R",#REF!),"")</f>
        <v>#REF!</v>
      </c>
      <c r="AC30" s="295"/>
      <c r="AD30" s="295" t="e">
        <f>IF(AND(#REF!="Baja",#REF!="Mayor"),CONCATENATE("R",#REF!),"")</f>
        <v>#REF!</v>
      </c>
      <c r="AE30" s="295"/>
      <c r="AF30" s="295" t="e">
        <f>IF(AND(#REF!="Baja",#REF!="Mayor"),CONCATENATE("R",#REF!),"")</f>
        <v>#REF!</v>
      </c>
      <c r="AG30" s="296"/>
      <c r="AH30" s="284" t="e">
        <f>IF(AND(#REF!="Baja",#REF!="Catastrófico"),CONCATENATE("R",#REF!),"")</f>
        <v>#REF!</v>
      </c>
      <c r="AI30" s="285"/>
      <c r="AJ30" s="285" t="e">
        <f>IF(AND(#REF!="Baja",#REF!="Catastrófico"),CONCATENATE("R",#REF!),"")</f>
        <v>#REF!</v>
      </c>
      <c r="AK30" s="285"/>
      <c r="AL30" s="285" t="e">
        <f>IF(AND(#REF!="Baja",#REF!="Catastrófico"),CONCATENATE("R",#REF!),"")</f>
        <v>#REF!</v>
      </c>
      <c r="AM30" s="286"/>
      <c r="AN30" s="31"/>
      <c r="AO30" s="338" t="s">
        <v>57</v>
      </c>
      <c r="AP30" s="339"/>
      <c r="AQ30" s="339"/>
      <c r="AR30" s="339"/>
      <c r="AS30" s="339"/>
      <c r="AT30" s="340"/>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row>
    <row r="31" spans="1:80" x14ac:dyDescent="0.3">
      <c r="A31" s="31"/>
      <c r="B31" s="309"/>
      <c r="C31" s="309"/>
      <c r="D31" s="310"/>
      <c r="E31" s="301"/>
      <c r="F31" s="302"/>
      <c r="G31" s="302"/>
      <c r="H31" s="302"/>
      <c r="I31" s="307"/>
      <c r="J31" s="260"/>
      <c r="K31" s="261"/>
      <c r="L31" s="261"/>
      <c r="M31" s="261"/>
      <c r="N31" s="261"/>
      <c r="O31" s="262"/>
      <c r="P31" s="270"/>
      <c r="Q31" s="270"/>
      <c r="R31" s="270"/>
      <c r="S31" s="270"/>
      <c r="T31" s="270"/>
      <c r="U31" s="271"/>
      <c r="V31" s="269"/>
      <c r="W31" s="270"/>
      <c r="X31" s="270"/>
      <c r="Y31" s="270"/>
      <c r="Z31" s="270"/>
      <c r="AA31" s="271"/>
      <c r="AB31" s="287"/>
      <c r="AC31" s="288"/>
      <c r="AD31" s="288"/>
      <c r="AE31" s="288"/>
      <c r="AF31" s="288"/>
      <c r="AG31" s="290"/>
      <c r="AH31" s="278"/>
      <c r="AI31" s="279"/>
      <c r="AJ31" s="279"/>
      <c r="AK31" s="279"/>
      <c r="AL31" s="279"/>
      <c r="AM31" s="280"/>
      <c r="AN31" s="31"/>
      <c r="AO31" s="341"/>
      <c r="AP31" s="342"/>
      <c r="AQ31" s="342"/>
      <c r="AR31" s="342"/>
      <c r="AS31" s="342"/>
      <c r="AT31" s="343"/>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row>
    <row r="32" spans="1:80" x14ac:dyDescent="0.3">
      <c r="A32" s="31"/>
      <c r="B32" s="309"/>
      <c r="C32" s="309"/>
      <c r="D32" s="310"/>
      <c r="E32" s="301"/>
      <c r="F32" s="302"/>
      <c r="G32" s="302"/>
      <c r="H32" s="302"/>
      <c r="I32" s="307"/>
      <c r="J32" s="260" t="e">
        <f>IF(AND(#REF!="Baja",#REF!="Leve"),CONCATENATE("R",#REF!),"")</f>
        <v>#REF!</v>
      </c>
      <c r="K32" s="261"/>
      <c r="L32" s="261" t="e">
        <f>IF(AND(#REF!="Baja",#REF!="Leve"),CONCATENATE("R",#REF!),"")</f>
        <v>#REF!</v>
      </c>
      <c r="M32" s="261"/>
      <c r="N32" s="261" t="e">
        <f>IF(AND(#REF!="Baja",#REF!="Leve"),CONCATENATE("R",#REF!),"")</f>
        <v>#REF!</v>
      </c>
      <c r="O32" s="262"/>
      <c r="P32" s="270" t="e">
        <f>IF(AND(#REF!="Baja",#REF!="Menor"),CONCATENATE("R",#REF!),"")</f>
        <v>#REF!</v>
      </c>
      <c r="Q32" s="270"/>
      <c r="R32" s="270" t="e">
        <f>IF(AND(#REF!="Baja",#REF!="Menor"),CONCATENATE("R",#REF!),"")</f>
        <v>#REF!</v>
      </c>
      <c r="S32" s="270"/>
      <c r="T32" s="270" t="e">
        <f>IF(AND(#REF!="Baja",#REF!="Menor"),CONCATENATE("R",#REF!),"")</f>
        <v>#REF!</v>
      </c>
      <c r="U32" s="271"/>
      <c r="V32" s="269" t="e">
        <f>IF(AND(#REF!="Baja",#REF!="Moderado"),CONCATENATE("R",#REF!),"")</f>
        <v>#REF!</v>
      </c>
      <c r="W32" s="270"/>
      <c r="X32" s="270" t="e">
        <f>IF(AND(#REF!="Baja",#REF!="Moderado"),CONCATENATE("R",#REF!),"")</f>
        <v>#REF!</v>
      </c>
      <c r="Y32" s="270"/>
      <c r="Z32" s="270" t="e">
        <f>IF(AND(#REF!="Baja",#REF!="Moderado"),CONCATENATE("R",#REF!),"")</f>
        <v>#REF!</v>
      </c>
      <c r="AA32" s="271"/>
      <c r="AB32" s="287" t="e">
        <f>IF(AND(#REF!="Baja",#REF!="Mayor"),CONCATENATE("R",#REF!),"")</f>
        <v>#REF!</v>
      </c>
      <c r="AC32" s="288"/>
      <c r="AD32" s="289" t="e">
        <f>IF(AND(#REF!="Baja",#REF!="Mayor"),CONCATENATE("R",#REF!),"")</f>
        <v>#REF!</v>
      </c>
      <c r="AE32" s="289"/>
      <c r="AF32" s="289" t="e">
        <f>IF(AND(#REF!="Baja",#REF!="Mayor"),CONCATENATE("R",#REF!),"")</f>
        <v>#REF!</v>
      </c>
      <c r="AG32" s="290"/>
      <c r="AH32" s="278" t="e">
        <f>IF(AND(#REF!="Baja",#REF!="Catastrófico"),CONCATENATE("R",#REF!),"")</f>
        <v>#REF!</v>
      </c>
      <c r="AI32" s="279"/>
      <c r="AJ32" s="279" t="e">
        <f>IF(AND(#REF!="Baja",#REF!="Catastrófico"),CONCATENATE("R",#REF!),"")</f>
        <v>#REF!</v>
      </c>
      <c r="AK32" s="279"/>
      <c r="AL32" s="279" t="e">
        <f>IF(AND(#REF!="Baja",#REF!="Catastrófico"),CONCATENATE("R",#REF!),"")</f>
        <v>#REF!</v>
      </c>
      <c r="AM32" s="280"/>
      <c r="AN32" s="31"/>
      <c r="AO32" s="341"/>
      <c r="AP32" s="342"/>
      <c r="AQ32" s="342"/>
      <c r="AR32" s="342"/>
      <c r="AS32" s="342"/>
      <c r="AT32" s="343"/>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row>
    <row r="33" spans="1:80" x14ac:dyDescent="0.3">
      <c r="A33" s="31"/>
      <c r="B33" s="309"/>
      <c r="C33" s="309"/>
      <c r="D33" s="310"/>
      <c r="E33" s="301"/>
      <c r="F33" s="302"/>
      <c r="G33" s="302"/>
      <c r="H33" s="302"/>
      <c r="I33" s="307"/>
      <c r="J33" s="260"/>
      <c r="K33" s="261"/>
      <c r="L33" s="261"/>
      <c r="M33" s="261"/>
      <c r="N33" s="261"/>
      <c r="O33" s="262"/>
      <c r="P33" s="270"/>
      <c r="Q33" s="270"/>
      <c r="R33" s="270"/>
      <c r="S33" s="270"/>
      <c r="T33" s="270"/>
      <c r="U33" s="271"/>
      <c r="V33" s="269"/>
      <c r="W33" s="270"/>
      <c r="X33" s="270"/>
      <c r="Y33" s="270"/>
      <c r="Z33" s="270"/>
      <c r="AA33" s="271"/>
      <c r="AB33" s="287"/>
      <c r="AC33" s="288"/>
      <c r="AD33" s="289"/>
      <c r="AE33" s="289"/>
      <c r="AF33" s="289"/>
      <c r="AG33" s="290"/>
      <c r="AH33" s="278"/>
      <c r="AI33" s="279"/>
      <c r="AJ33" s="279"/>
      <c r="AK33" s="279"/>
      <c r="AL33" s="279"/>
      <c r="AM33" s="280"/>
      <c r="AN33" s="31"/>
      <c r="AO33" s="341"/>
      <c r="AP33" s="342"/>
      <c r="AQ33" s="342"/>
      <c r="AR33" s="342"/>
      <c r="AS33" s="342"/>
      <c r="AT33" s="343"/>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row>
    <row r="34" spans="1:80" x14ac:dyDescent="0.3">
      <c r="A34" s="31"/>
      <c r="B34" s="309"/>
      <c r="C34" s="309"/>
      <c r="D34" s="310"/>
      <c r="E34" s="301"/>
      <c r="F34" s="302"/>
      <c r="G34" s="302"/>
      <c r="H34" s="302"/>
      <c r="I34" s="307"/>
      <c r="J34" s="260" t="e">
        <f>IF(AND(#REF!="Baja",#REF!="Leve"),CONCATENATE("R",#REF!),"")</f>
        <v>#REF!</v>
      </c>
      <c r="K34" s="261"/>
      <c r="L34" s="261" t="e">
        <f>IF(AND(#REF!="Baja",#REF!="Leve"),CONCATENATE("R",#REF!),"")</f>
        <v>#REF!</v>
      </c>
      <c r="M34" s="261"/>
      <c r="N34" s="261" t="e">
        <f>IF(AND(#REF!="Baja",#REF!="Leve"),CONCATENATE("R",#REF!),"")</f>
        <v>#REF!</v>
      </c>
      <c r="O34" s="262"/>
      <c r="P34" s="270" t="e">
        <f>IF(AND(#REF!="Baja",#REF!="Menor"),CONCATENATE("R",#REF!),"")</f>
        <v>#REF!</v>
      </c>
      <c r="Q34" s="270"/>
      <c r="R34" s="270" t="e">
        <f>IF(AND(#REF!="Baja",#REF!="Menor"),CONCATENATE("R",#REF!),"")</f>
        <v>#REF!</v>
      </c>
      <c r="S34" s="270"/>
      <c r="T34" s="270" t="e">
        <f>IF(AND(#REF!="Baja",#REF!="Menor"),CONCATENATE("R",#REF!),"")</f>
        <v>#REF!</v>
      </c>
      <c r="U34" s="271"/>
      <c r="V34" s="269" t="e">
        <f>IF(AND(#REF!="Baja",#REF!="Moderado"),CONCATENATE("R",#REF!),"")</f>
        <v>#REF!</v>
      </c>
      <c r="W34" s="270"/>
      <c r="X34" s="270" t="e">
        <f>IF(AND(#REF!="Baja",#REF!="Moderado"),CONCATENATE("R",#REF!),"")</f>
        <v>#REF!</v>
      </c>
      <c r="Y34" s="270"/>
      <c r="Z34" s="270" t="e">
        <f>IF(AND(#REF!="Baja",#REF!="Moderado"),CONCATENATE("R",#REF!),"")</f>
        <v>#REF!</v>
      </c>
      <c r="AA34" s="271"/>
      <c r="AB34" s="287" t="e">
        <f>IF(AND(#REF!="Baja",#REF!="Mayor"),CONCATENATE("R",#REF!),"")</f>
        <v>#REF!</v>
      </c>
      <c r="AC34" s="288"/>
      <c r="AD34" s="289" t="e">
        <f>IF(AND(#REF!="Baja",#REF!="Mayor"),CONCATENATE("R",#REF!),"")</f>
        <v>#REF!</v>
      </c>
      <c r="AE34" s="289"/>
      <c r="AF34" s="289" t="e">
        <f>IF(AND(#REF!="Baja",#REF!="Mayor"),CONCATENATE("R",#REF!),"")</f>
        <v>#REF!</v>
      </c>
      <c r="AG34" s="290"/>
      <c r="AH34" s="278" t="e">
        <f>IF(AND(#REF!="Baja",#REF!="Catastrófico"),CONCATENATE("R",#REF!),"")</f>
        <v>#REF!</v>
      </c>
      <c r="AI34" s="279"/>
      <c r="AJ34" s="279" t="e">
        <f>IF(AND(#REF!="Baja",#REF!="Catastrófico"),CONCATENATE("R",#REF!),"")</f>
        <v>#REF!</v>
      </c>
      <c r="AK34" s="279"/>
      <c r="AL34" s="279" t="e">
        <f>IF(AND(#REF!="Baja",#REF!="Catastrófico"),CONCATENATE("R",#REF!),"")</f>
        <v>#REF!</v>
      </c>
      <c r="AM34" s="280"/>
      <c r="AN34" s="31"/>
      <c r="AO34" s="341"/>
      <c r="AP34" s="342"/>
      <c r="AQ34" s="342"/>
      <c r="AR34" s="342"/>
      <c r="AS34" s="342"/>
      <c r="AT34" s="343"/>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row>
    <row r="35" spans="1:80" x14ac:dyDescent="0.3">
      <c r="A35" s="31"/>
      <c r="B35" s="309"/>
      <c r="C35" s="309"/>
      <c r="D35" s="310"/>
      <c r="E35" s="301"/>
      <c r="F35" s="302"/>
      <c r="G35" s="302"/>
      <c r="H35" s="302"/>
      <c r="I35" s="307"/>
      <c r="J35" s="260"/>
      <c r="K35" s="261"/>
      <c r="L35" s="261"/>
      <c r="M35" s="261"/>
      <c r="N35" s="261"/>
      <c r="O35" s="262"/>
      <c r="P35" s="270"/>
      <c r="Q35" s="270"/>
      <c r="R35" s="270"/>
      <c r="S35" s="270"/>
      <c r="T35" s="270"/>
      <c r="U35" s="271"/>
      <c r="V35" s="269"/>
      <c r="W35" s="270"/>
      <c r="X35" s="270"/>
      <c r="Y35" s="270"/>
      <c r="Z35" s="270"/>
      <c r="AA35" s="271"/>
      <c r="AB35" s="287"/>
      <c r="AC35" s="288"/>
      <c r="AD35" s="289"/>
      <c r="AE35" s="289"/>
      <c r="AF35" s="289"/>
      <c r="AG35" s="290"/>
      <c r="AH35" s="278"/>
      <c r="AI35" s="279"/>
      <c r="AJ35" s="279"/>
      <c r="AK35" s="279"/>
      <c r="AL35" s="279"/>
      <c r="AM35" s="280"/>
      <c r="AN35" s="31"/>
      <c r="AO35" s="341"/>
      <c r="AP35" s="342"/>
      <c r="AQ35" s="342"/>
      <c r="AR35" s="342"/>
      <c r="AS35" s="342"/>
      <c r="AT35" s="343"/>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row>
    <row r="36" spans="1:80" x14ac:dyDescent="0.3">
      <c r="A36" s="31"/>
      <c r="B36" s="309"/>
      <c r="C36" s="309"/>
      <c r="D36" s="310"/>
      <c r="E36" s="301"/>
      <c r="F36" s="302"/>
      <c r="G36" s="302"/>
      <c r="H36" s="302"/>
      <c r="I36" s="307"/>
      <c r="J36" s="260" t="e">
        <f>IF(AND(#REF!="Baja",#REF!="Leve"),CONCATENATE("R",#REF!),"")</f>
        <v>#REF!</v>
      </c>
      <c r="K36" s="261"/>
      <c r="L36" s="261" t="e">
        <f>IF(AND(#REF!="Baja",#REF!="Leve"),CONCATENATE("R",#REF!),"")</f>
        <v>#REF!</v>
      </c>
      <c r="M36" s="261"/>
      <c r="N36" s="261" t="e">
        <f>IF(AND(#REF!="Baja",#REF!="Leve"),CONCATENATE("R",#REF!),"")</f>
        <v>#REF!</v>
      </c>
      <c r="O36" s="262"/>
      <c r="P36" s="270" t="e">
        <f>IF(AND(#REF!="Baja",#REF!="Menor"),CONCATENATE("R",#REF!),"")</f>
        <v>#REF!</v>
      </c>
      <c r="Q36" s="270"/>
      <c r="R36" s="270" t="e">
        <f>IF(AND(#REF!="Baja",#REF!="Menor"),CONCATENATE("R",#REF!),"")</f>
        <v>#REF!</v>
      </c>
      <c r="S36" s="270"/>
      <c r="T36" s="270" t="e">
        <f>IF(AND(#REF!="Baja",#REF!="Menor"),CONCATENATE("R",#REF!),"")</f>
        <v>#REF!</v>
      </c>
      <c r="U36" s="271"/>
      <c r="V36" s="269" t="e">
        <f>IF(AND(#REF!="Baja",#REF!="Moderado"),CONCATENATE("R",#REF!),"")</f>
        <v>#REF!</v>
      </c>
      <c r="W36" s="270"/>
      <c r="X36" s="270" t="e">
        <f>IF(AND(#REF!="Baja",#REF!="Moderado"),CONCATENATE("R",#REF!),"")</f>
        <v>#REF!</v>
      </c>
      <c r="Y36" s="270"/>
      <c r="Z36" s="270" t="e">
        <f>IF(AND(#REF!="Baja",#REF!="Moderado"),CONCATENATE("R",#REF!),"")</f>
        <v>#REF!</v>
      </c>
      <c r="AA36" s="271"/>
      <c r="AB36" s="287" t="e">
        <f>IF(AND(#REF!="Baja",#REF!="Mayor"),CONCATENATE("R",#REF!),"")</f>
        <v>#REF!</v>
      </c>
      <c r="AC36" s="288"/>
      <c r="AD36" s="289" t="e">
        <f>IF(AND(#REF!="Baja",#REF!="Mayor"),CONCATENATE("R",#REF!),"")</f>
        <v>#REF!</v>
      </c>
      <c r="AE36" s="289"/>
      <c r="AF36" s="289" t="e">
        <f>IF(AND(#REF!="Baja",#REF!="Mayor"),CONCATENATE("R",#REF!),"")</f>
        <v>#REF!</v>
      </c>
      <c r="AG36" s="290"/>
      <c r="AH36" s="278" t="e">
        <f>IF(AND(#REF!="Baja",#REF!="Catastrófico"),CONCATENATE("R",#REF!),"")</f>
        <v>#REF!</v>
      </c>
      <c r="AI36" s="279"/>
      <c r="AJ36" s="279" t="e">
        <f>IF(AND(#REF!="Baja",#REF!="Catastrófico"),CONCATENATE("R",#REF!),"")</f>
        <v>#REF!</v>
      </c>
      <c r="AK36" s="279"/>
      <c r="AL36" s="279" t="e">
        <f>IF(AND(#REF!="Baja",#REF!="Catastrófico"),CONCATENATE("R",#REF!),"")</f>
        <v>#REF!</v>
      </c>
      <c r="AM36" s="280"/>
      <c r="AN36" s="31"/>
      <c r="AO36" s="341"/>
      <c r="AP36" s="342"/>
      <c r="AQ36" s="342"/>
      <c r="AR36" s="342"/>
      <c r="AS36" s="342"/>
      <c r="AT36" s="343"/>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row>
    <row r="37" spans="1:80" ht="15" thickBot="1" x14ac:dyDescent="0.35">
      <c r="A37" s="31"/>
      <c r="B37" s="309"/>
      <c r="C37" s="309"/>
      <c r="D37" s="310"/>
      <c r="E37" s="304"/>
      <c r="F37" s="305"/>
      <c r="G37" s="305"/>
      <c r="H37" s="305"/>
      <c r="I37" s="305"/>
      <c r="J37" s="263"/>
      <c r="K37" s="264"/>
      <c r="L37" s="264"/>
      <c r="M37" s="264"/>
      <c r="N37" s="264"/>
      <c r="O37" s="265"/>
      <c r="P37" s="273"/>
      <c r="Q37" s="273"/>
      <c r="R37" s="273"/>
      <c r="S37" s="273"/>
      <c r="T37" s="273"/>
      <c r="U37" s="274"/>
      <c r="V37" s="272"/>
      <c r="W37" s="273"/>
      <c r="X37" s="273"/>
      <c r="Y37" s="273"/>
      <c r="Z37" s="273"/>
      <c r="AA37" s="274"/>
      <c r="AB37" s="291"/>
      <c r="AC37" s="292"/>
      <c r="AD37" s="292"/>
      <c r="AE37" s="292"/>
      <c r="AF37" s="292"/>
      <c r="AG37" s="293"/>
      <c r="AH37" s="281"/>
      <c r="AI37" s="282"/>
      <c r="AJ37" s="282"/>
      <c r="AK37" s="282"/>
      <c r="AL37" s="282"/>
      <c r="AM37" s="283"/>
      <c r="AN37" s="31"/>
      <c r="AO37" s="344"/>
      <c r="AP37" s="345"/>
      <c r="AQ37" s="345"/>
      <c r="AR37" s="345"/>
      <c r="AS37" s="345"/>
      <c r="AT37" s="346"/>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row>
    <row r="38" spans="1:80" x14ac:dyDescent="0.3">
      <c r="A38" s="31"/>
      <c r="B38" s="309"/>
      <c r="C38" s="309"/>
      <c r="D38" s="310"/>
      <c r="E38" s="298" t="s">
        <v>87</v>
      </c>
      <c r="F38" s="299"/>
      <c r="G38" s="299"/>
      <c r="H38" s="299"/>
      <c r="I38" s="300"/>
      <c r="J38" s="266" t="e">
        <f>IF(AND(#REF!="Muy Baja",#REF!="Leve"),CONCATENATE("R",#REF!),"")</f>
        <v>#REF!</v>
      </c>
      <c r="K38" s="267"/>
      <c r="L38" s="267" t="e">
        <f>IF(AND(#REF!="Muy Baja",#REF!="Leve"),CONCATENATE("R",#REF!),"")</f>
        <v>#REF!</v>
      </c>
      <c r="M38" s="267"/>
      <c r="N38" s="267" t="e">
        <f>IF(AND(#REF!="Muy Baja",#REF!="Leve"),CONCATENATE("R",#REF!),"")</f>
        <v>#REF!</v>
      </c>
      <c r="O38" s="268"/>
      <c r="P38" s="266" t="e">
        <f>IF(AND(#REF!="Muy Baja",#REF!="Menor"),CONCATENATE("R",#REF!),"")</f>
        <v>#REF!</v>
      </c>
      <c r="Q38" s="267"/>
      <c r="R38" s="267" t="e">
        <f>IF(AND(#REF!="Muy Baja",#REF!="Menor"),CONCATENATE("R",#REF!),"")</f>
        <v>#REF!</v>
      </c>
      <c r="S38" s="267"/>
      <c r="T38" s="267" t="e">
        <f>IF(AND(#REF!="Muy Baja",#REF!="Menor"),CONCATENATE("R",#REF!),"")</f>
        <v>#REF!</v>
      </c>
      <c r="U38" s="268"/>
      <c r="V38" s="275" t="e">
        <f>IF(AND(#REF!="Muy Baja",#REF!="Moderado"),CONCATENATE("R",#REF!),"")</f>
        <v>#REF!</v>
      </c>
      <c r="W38" s="276"/>
      <c r="X38" s="276" t="e">
        <f>IF(AND(#REF!="Muy Baja",#REF!="Moderado"),CONCATENATE("R",#REF!),"")</f>
        <v>#REF!</v>
      </c>
      <c r="Y38" s="276"/>
      <c r="Z38" s="276" t="e">
        <f>IF(AND(#REF!="Muy Baja",#REF!="Moderado"),CONCATENATE("R",#REF!),"")</f>
        <v>#REF!</v>
      </c>
      <c r="AA38" s="277"/>
      <c r="AB38" s="294" t="e">
        <f>IF(AND(#REF!="Muy Baja",#REF!="Mayor"),CONCATENATE("R",#REF!),"")</f>
        <v>#REF!</v>
      </c>
      <c r="AC38" s="295"/>
      <c r="AD38" s="295" t="e">
        <f>IF(AND(#REF!="Muy Baja",#REF!="Mayor"),CONCATENATE("R",#REF!),"")</f>
        <v>#REF!</v>
      </c>
      <c r="AE38" s="295"/>
      <c r="AF38" s="295" t="e">
        <f>IF(AND(#REF!="Muy Baja",#REF!="Mayor"),CONCATENATE("R",#REF!),"")</f>
        <v>#REF!</v>
      </c>
      <c r="AG38" s="296"/>
      <c r="AH38" s="284" t="e">
        <f>IF(AND(#REF!="Muy Baja",#REF!="Catastrófico"),CONCATENATE("R",#REF!),"")</f>
        <v>#REF!</v>
      </c>
      <c r="AI38" s="285"/>
      <c r="AJ38" s="285" t="e">
        <f>IF(AND(#REF!="Muy Baja",#REF!="Catastrófico"),CONCATENATE("R",#REF!),"")</f>
        <v>#REF!</v>
      </c>
      <c r="AK38" s="285"/>
      <c r="AL38" s="285" t="e">
        <f>IF(AND(#REF!="Muy Baja",#REF!="Catastrófico"),CONCATENATE("R",#REF!),"")</f>
        <v>#REF!</v>
      </c>
      <c r="AM38" s="286"/>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row>
    <row r="39" spans="1:80" x14ac:dyDescent="0.3">
      <c r="A39" s="31"/>
      <c r="B39" s="309"/>
      <c r="C39" s="309"/>
      <c r="D39" s="310"/>
      <c r="E39" s="301"/>
      <c r="F39" s="302"/>
      <c r="G39" s="302"/>
      <c r="H39" s="302"/>
      <c r="I39" s="303"/>
      <c r="J39" s="260"/>
      <c r="K39" s="261"/>
      <c r="L39" s="261"/>
      <c r="M39" s="261"/>
      <c r="N39" s="261"/>
      <c r="O39" s="262"/>
      <c r="P39" s="260"/>
      <c r="Q39" s="261"/>
      <c r="R39" s="261"/>
      <c r="S39" s="261"/>
      <c r="T39" s="261"/>
      <c r="U39" s="262"/>
      <c r="V39" s="269"/>
      <c r="W39" s="270"/>
      <c r="X39" s="270"/>
      <c r="Y39" s="270"/>
      <c r="Z39" s="270"/>
      <c r="AA39" s="271"/>
      <c r="AB39" s="287"/>
      <c r="AC39" s="288"/>
      <c r="AD39" s="288"/>
      <c r="AE39" s="288"/>
      <c r="AF39" s="288"/>
      <c r="AG39" s="290"/>
      <c r="AH39" s="278"/>
      <c r="AI39" s="279"/>
      <c r="AJ39" s="279"/>
      <c r="AK39" s="279"/>
      <c r="AL39" s="279"/>
      <c r="AM39" s="280"/>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row>
    <row r="40" spans="1:80" x14ac:dyDescent="0.3">
      <c r="A40" s="31"/>
      <c r="B40" s="309"/>
      <c r="C40" s="309"/>
      <c r="D40" s="310"/>
      <c r="E40" s="301"/>
      <c r="F40" s="302"/>
      <c r="G40" s="302"/>
      <c r="H40" s="302"/>
      <c r="I40" s="303"/>
      <c r="J40" s="260" t="e">
        <f>IF(AND(#REF!="Muy Baja",#REF!="Leve"),CONCATENATE("R",#REF!),"")</f>
        <v>#REF!</v>
      </c>
      <c r="K40" s="261"/>
      <c r="L40" s="261" t="e">
        <f>IF(AND(#REF!="Muy Baja",#REF!="Leve"),CONCATENATE("R",#REF!),"")</f>
        <v>#REF!</v>
      </c>
      <c r="M40" s="261"/>
      <c r="N40" s="261" t="e">
        <f>IF(AND(#REF!="Muy Baja",#REF!="Leve"),CONCATENATE("R",#REF!),"")</f>
        <v>#REF!</v>
      </c>
      <c r="O40" s="262"/>
      <c r="P40" s="260" t="e">
        <f>IF(AND(#REF!="Muy Baja",#REF!="Menor"),CONCATENATE("R",#REF!),"")</f>
        <v>#REF!</v>
      </c>
      <c r="Q40" s="261"/>
      <c r="R40" s="261" t="e">
        <f>IF(AND(#REF!="Muy Baja",#REF!="Menor"),CONCATENATE("R",#REF!),"")</f>
        <v>#REF!</v>
      </c>
      <c r="S40" s="261"/>
      <c r="T40" s="261" t="e">
        <f>IF(AND(#REF!="Muy Baja",#REF!="Menor"),CONCATENATE("R",#REF!),"")</f>
        <v>#REF!</v>
      </c>
      <c r="U40" s="262"/>
      <c r="V40" s="269" t="e">
        <f>IF(AND(#REF!="Muy Baja",#REF!="Moderado"),CONCATENATE("R",#REF!),"")</f>
        <v>#REF!</v>
      </c>
      <c r="W40" s="270"/>
      <c r="X40" s="270" t="e">
        <f>IF(AND(#REF!="Muy Baja",#REF!="Moderado"),CONCATENATE("R",#REF!),"")</f>
        <v>#REF!</v>
      </c>
      <c r="Y40" s="270"/>
      <c r="Z40" s="270" t="e">
        <f>IF(AND(#REF!="Muy Baja",#REF!="Moderado"),CONCATENATE("R",#REF!),"")</f>
        <v>#REF!</v>
      </c>
      <c r="AA40" s="271"/>
      <c r="AB40" s="287" t="e">
        <f>IF(AND(#REF!="Muy Baja",#REF!="Mayor"),CONCATENATE("R",#REF!),"")</f>
        <v>#REF!</v>
      </c>
      <c r="AC40" s="288"/>
      <c r="AD40" s="289" t="e">
        <f>IF(AND(#REF!="Muy Baja",#REF!="Mayor"),CONCATENATE("R",#REF!),"")</f>
        <v>#REF!</v>
      </c>
      <c r="AE40" s="289"/>
      <c r="AF40" s="289" t="e">
        <f>IF(AND(#REF!="Muy Baja",#REF!="Mayor"),CONCATENATE("R",#REF!),"")</f>
        <v>#REF!</v>
      </c>
      <c r="AG40" s="290"/>
      <c r="AH40" s="278" t="e">
        <f>IF(AND(#REF!="Muy Baja",#REF!="Catastrófico"),CONCATENATE("R",#REF!),"")</f>
        <v>#REF!</v>
      </c>
      <c r="AI40" s="279"/>
      <c r="AJ40" s="279" t="e">
        <f>IF(AND(#REF!="Muy Baja",#REF!="Catastrófico"),CONCATENATE("R",#REF!),"")</f>
        <v>#REF!</v>
      </c>
      <c r="AK40" s="279"/>
      <c r="AL40" s="279" t="e">
        <f>IF(AND(#REF!="Muy Baja",#REF!="Catastrófico"),CONCATENATE("R",#REF!),"")</f>
        <v>#REF!</v>
      </c>
      <c r="AM40" s="280"/>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row>
    <row r="41" spans="1:80" x14ac:dyDescent="0.3">
      <c r="A41" s="31"/>
      <c r="B41" s="309"/>
      <c r="C41" s="309"/>
      <c r="D41" s="310"/>
      <c r="E41" s="301"/>
      <c r="F41" s="302"/>
      <c r="G41" s="302"/>
      <c r="H41" s="302"/>
      <c r="I41" s="303"/>
      <c r="J41" s="260"/>
      <c r="K41" s="261"/>
      <c r="L41" s="261"/>
      <c r="M41" s="261"/>
      <c r="N41" s="261"/>
      <c r="O41" s="262"/>
      <c r="P41" s="260"/>
      <c r="Q41" s="261"/>
      <c r="R41" s="261"/>
      <c r="S41" s="261"/>
      <c r="T41" s="261"/>
      <c r="U41" s="262"/>
      <c r="V41" s="269"/>
      <c r="W41" s="270"/>
      <c r="X41" s="270"/>
      <c r="Y41" s="270"/>
      <c r="Z41" s="270"/>
      <c r="AA41" s="271"/>
      <c r="AB41" s="287"/>
      <c r="AC41" s="288"/>
      <c r="AD41" s="289"/>
      <c r="AE41" s="289"/>
      <c r="AF41" s="289"/>
      <c r="AG41" s="290"/>
      <c r="AH41" s="278"/>
      <c r="AI41" s="279"/>
      <c r="AJ41" s="279"/>
      <c r="AK41" s="279"/>
      <c r="AL41" s="279"/>
      <c r="AM41" s="280"/>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row>
    <row r="42" spans="1:80" x14ac:dyDescent="0.3">
      <c r="A42" s="31"/>
      <c r="B42" s="309"/>
      <c r="C42" s="309"/>
      <c r="D42" s="310"/>
      <c r="E42" s="301"/>
      <c r="F42" s="302"/>
      <c r="G42" s="302"/>
      <c r="H42" s="302"/>
      <c r="I42" s="303"/>
      <c r="J42" s="260" t="e">
        <f>IF(AND(#REF!="Muy Baja",#REF!="Leve"),CONCATENATE("R",#REF!),"")</f>
        <v>#REF!</v>
      </c>
      <c r="K42" s="261"/>
      <c r="L42" s="261" t="e">
        <f>IF(AND(#REF!="Muy Baja",#REF!="Leve"),CONCATENATE("R",#REF!),"")</f>
        <v>#REF!</v>
      </c>
      <c r="M42" s="261"/>
      <c r="N42" s="261" t="e">
        <f>IF(AND(#REF!="Muy Baja",#REF!="Leve"),CONCATENATE("R",#REF!),"")</f>
        <v>#REF!</v>
      </c>
      <c r="O42" s="262"/>
      <c r="P42" s="260" t="e">
        <f>IF(AND(#REF!="Muy Baja",#REF!="Menor"),CONCATENATE("R",#REF!),"")</f>
        <v>#REF!</v>
      </c>
      <c r="Q42" s="261"/>
      <c r="R42" s="261" t="e">
        <f>IF(AND(#REF!="Muy Baja",#REF!="Menor"),CONCATENATE("R",#REF!),"")</f>
        <v>#REF!</v>
      </c>
      <c r="S42" s="261"/>
      <c r="T42" s="261" t="e">
        <f>IF(AND(#REF!="Muy Baja",#REF!="Menor"),CONCATENATE("R",#REF!),"")</f>
        <v>#REF!</v>
      </c>
      <c r="U42" s="262"/>
      <c r="V42" s="269" t="e">
        <f>IF(AND(#REF!="Muy Baja",#REF!="Moderado"),CONCATENATE("R",#REF!),"")</f>
        <v>#REF!</v>
      </c>
      <c r="W42" s="270"/>
      <c r="X42" s="270" t="e">
        <f>IF(AND(#REF!="Muy Baja",#REF!="Moderado"),CONCATENATE("R",#REF!),"")</f>
        <v>#REF!</v>
      </c>
      <c r="Y42" s="270"/>
      <c r="Z42" s="270" t="e">
        <f>IF(AND(#REF!="Muy Baja",#REF!="Moderado"),CONCATENATE("R",#REF!),"")</f>
        <v>#REF!</v>
      </c>
      <c r="AA42" s="271"/>
      <c r="AB42" s="287" t="e">
        <f>IF(AND(#REF!="Muy Baja",#REF!="Mayor"),CONCATENATE("R",#REF!),"")</f>
        <v>#REF!</v>
      </c>
      <c r="AC42" s="288"/>
      <c r="AD42" s="289" t="e">
        <f>IF(AND(#REF!="Muy Baja",#REF!="Mayor"),CONCATENATE("R",#REF!),"")</f>
        <v>#REF!</v>
      </c>
      <c r="AE42" s="289"/>
      <c r="AF42" s="289" t="e">
        <f>IF(AND(#REF!="Muy Baja",#REF!="Mayor"),CONCATENATE("R",#REF!),"")</f>
        <v>#REF!</v>
      </c>
      <c r="AG42" s="290"/>
      <c r="AH42" s="278" t="e">
        <f>IF(AND(#REF!="Muy Baja",#REF!="Catastrófico"),CONCATENATE("R",#REF!),"")</f>
        <v>#REF!</v>
      </c>
      <c r="AI42" s="279"/>
      <c r="AJ42" s="279" t="e">
        <f>IF(AND(#REF!="Muy Baja",#REF!="Catastrófico"),CONCATENATE("R",#REF!),"")</f>
        <v>#REF!</v>
      </c>
      <c r="AK42" s="279"/>
      <c r="AL42" s="279" t="e">
        <f>IF(AND(#REF!="Muy Baja",#REF!="Catastrófico"),CONCATENATE("R",#REF!),"")</f>
        <v>#REF!</v>
      </c>
      <c r="AM42" s="280"/>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row>
    <row r="43" spans="1:80" x14ac:dyDescent="0.3">
      <c r="A43" s="31"/>
      <c r="B43" s="309"/>
      <c r="C43" s="309"/>
      <c r="D43" s="310"/>
      <c r="E43" s="301"/>
      <c r="F43" s="302"/>
      <c r="G43" s="302"/>
      <c r="H43" s="302"/>
      <c r="I43" s="303"/>
      <c r="J43" s="260"/>
      <c r="K43" s="261"/>
      <c r="L43" s="261"/>
      <c r="M43" s="261"/>
      <c r="N43" s="261"/>
      <c r="O43" s="262"/>
      <c r="P43" s="260"/>
      <c r="Q43" s="261"/>
      <c r="R43" s="261"/>
      <c r="S43" s="261"/>
      <c r="T43" s="261"/>
      <c r="U43" s="262"/>
      <c r="V43" s="269"/>
      <c r="W43" s="270"/>
      <c r="X43" s="270"/>
      <c r="Y43" s="270"/>
      <c r="Z43" s="270"/>
      <c r="AA43" s="271"/>
      <c r="AB43" s="287"/>
      <c r="AC43" s="288"/>
      <c r="AD43" s="289"/>
      <c r="AE43" s="289"/>
      <c r="AF43" s="289"/>
      <c r="AG43" s="290"/>
      <c r="AH43" s="278"/>
      <c r="AI43" s="279"/>
      <c r="AJ43" s="279"/>
      <c r="AK43" s="279"/>
      <c r="AL43" s="279"/>
      <c r="AM43" s="280"/>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row>
    <row r="44" spans="1:80" x14ac:dyDescent="0.3">
      <c r="A44" s="31"/>
      <c r="B44" s="309"/>
      <c r="C44" s="309"/>
      <c r="D44" s="310"/>
      <c r="E44" s="301"/>
      <c r="F44" s="302"/>
      <c r="G44" s="302"/>
      <c r="H44" s="302"/>
      <c r="I44" s="303"/>
      <c r="J44" s="260" t="e">
        <f>IF(AND(#REF!="Muy Baja",#REF!="Leve"),CONCATENATE("R",#REF!),"")</f>
        <v>#REF!</v>
      </c>
      <c r="K44" s="261"/>
      <c r="L44" s="261" t="e">
        <f>IF(AND(#REF!="Muy Baja",#REF!="Leve"),CONCATENATE("R",#REF!),"")</f>
        <v>#REF!</v>
      </c>
      <c r="M44" s="261"/>
      <c r="N44" s="261" t="e">
        <f>IF(AND(#REF!="Muy Baja",#REF!="Leve"),CONCATENATE("R",#REF!),"")</f>
        <v>#REF!</v>
      </c>
      <c r="O44" s="262"/>
      <c r="P44" s="260" t="e">
        <f>IF(AND(#REF!="Muy Baja",#REF!="Menor"),CONCATENATE("R",#REF!),"")</f>
        <v>#REF!</v>
      </c>
      <c r="Q44" s="261"/>
      <c r="R44" s="261" t="e">
        <f>IF(AND(#REF!="Muy Baja",#REF!="Menor"),CONCATENATE("R",#REF!),"")</f>
        <v>#REF!</v>
      </c>
      <c r="S44" s="261"/>
      <c r="T44" s="261" t="e">
        <f>IF(AND(#REF!="Muy Baja",#REF!="Menor"),CONCATENATE("R",#REF!),"")</f>
        <v>#REF!</v>
      </c>
      <c r="U44" s="262"/>
      <c r="V44" s="269" t="e">
        <f>IF(AND(#REF!="Muy Baja",#REF!="Moderado"),CONCATENATE("R",#REF!),"")</f>
        <v>#REF!</v>
      </c>
      <c r="W44" s="270"/>
      <c r="X44" s="270" t="e">
        <f>IF(AND(#REF!="Muy Baja",#REF!="Moderado"),CONCATENATE("R",#REF!),"")</f>
        <v>#REF!</v>
      </c>
      <c r="Y44" s="270"/>
      <c r="Z44" s="270" t="e">
        <f>IF(AND(#REF!="Muy Baja",#REF!="Moderado"),CONCATENATE("R",#REF!),"")</f>
        <v>#REF!</v>
      </c>
      <c r="AA44" s="271"/>
      <c r="AB44" s="287" t="e">
        <f>IF(AND(#REF!="Muy Baja",#REF!="Mayor"),CONCATENATE("R",#REF!),"")</f>
        <v>#REF!</v>
      </c>
      <c r="AC44" s="288"/>
      <c r="AD44" s="289" t="e">
        <f>IF(AND(#REF!="Muy Baja",#REF!="Mayor"),CONCATENATE("R",#REF!),"")</f>
        <v>#REF!</v>
      </c>
      <c r="AE44" s="289"/>
      <c r="AF44" s="289" t="e">
        <f>IF(AND(#REF!="Muy Baja",#REF!="Mayor"),CONCATENATE("R",#REF!),"")</f>
        <v>#REF!</v>
      </c>
      <c r="AG44" s="290"/>
      <c r="AH44" s="278" t="e">
        <f>IF(AND(#REF!="Muy Baja",#REF!="Catastrófico"),CONCATENATE("R",#REF!),"")</f>
        <v>#REF!</v>
      </c>
      <c r="AI44" s="279"/>
      <c r="AJ44" s="279" t="e">
        <f>IF(AND(#REF!="Muy Baja",#REF!="Catastrófico"),CONCATENATE("R",#REF!),"")</f>
        <v>#REF!</v>
      </c>
      <c r="AK44" s="279"/>
      <c r="AL44" s="279" t="e">
        <f>IF(AND(#REF!="Muy Baja",#REF!="Catastrófico"),CONCATENATE("R",#REF!),"")</f>
        <v>#REF!</v>
      </c>
      <c r="AM44" s="280"/>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row>
    <row r="45" spans="1:80" ht="15" thickBot="1" x14ac:dyDescent="0.35">
      <c r="A45" s="31"/>
      <c r="B45" s="309"/>
      <c r="C45" s="309"/>
      <c r="D45" s="310"/>
      <c r="E45" s="304"/>
      <c r="F45" s="305"/>
      <c r="G45" s="305"/>
      <c r="H45" s="305"/>
      <c r="I45" s="306"/>
      <c r="J45" s="263"/>
      <c r="K45" s="264"/>
      <c r="L45" s="264"/>
      <c r="M45" s="264"/>
      <c r="N45" s="264"/>
      <c r="O45" s="265"/>
      <c r="P45" s="263"/>
      <c r="Q45" s="264"/>
      <c r="R45" s="264"/>
      <c r="S45" s="264"/>
      <c r="T45" s="264"/>
      <c r="U45" s="265"/>
      <c r="V45" s="272"/>
      <c r="W45" s="273"/>
      <c r="X45" s="273"/>
      <c r="Y45" s="273"/>
      <c r="Z45" s="273"/>
      <c r="AA45" s="274"/>
      <c r="AB45" s="291"/>
      <c r="AC45" s="292"/>
      <c r="AD45" s="292"/>
      <c r="AE45" s="292"/>
      <c r="AF45" s="292"/>
      <c r="AG45" s="293"/>
      <c r="AH45" s="281"/>
      <c r="AI45" s="282"/>
      <c r="AJ45" s="282"/>
      <c r="AK45" s="282"/>
      <c r="AL45" s="282"/>
      <c r="AM45" s="283"/>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row>
    <row r="46" spans="1:80" x14ac:dyDescent="0.3">
      <c r="A46" s="31"/>
      <c r="B46" s="31"/>
      <c r="C46" s="31"/>
      <c r="D46" s="31"/>
      <c r="E46" s="31"/>
      <c r="F46" s="31"/>
      <c r="G46" s="31"/>
      <c r="H46" s="31"/>
      <c r="I46" s="31"/>
      <c r="J46" s="298" t="s">
        <v>86</v>
      </c>
      <c r="K46" s="299"/>
      <c r="L46" s="299"/>
      <c r="M46" s="299"/>
      <c r="N46" s="299"/>
      <c r="O46" s="300"/>
      <c r="P46" s="298" t="s">
        <v>85</v>
      </c>
      <c r="Q46" s="299"/>
      <c r="R46" s="299"/>
      <c r="S46" s="299"/>
      <c r="T46" s="299"/>
      <c r="U46" s="300"/>
      <c r="V46" s="298" t="s">
        <v>84</v>
      </c>
      <c r="W46" s="299"/>
      <c r="X46" s="299"/>
      <c r="Y46" s="299"/>
      <c r="Z46" s="299"/>
      <c r="AA46" s="300"/>
      <c r="AB46" s="298" t="s">
        <v>83</v>
      </c>
      <c r="AC46" s="308"/>
      <c r="AD46" s="299"/>
      <c r="AE46" s="299"/>
      <c r="AF46" s="299"/>
      <c r="AG46" s="300"/>
      <c r="AH46" s="298" t="s">
        <v>82</v>
      </c>
      <c r="AI46" s="299"/>
      <c r="AJ46" s="299"/>
      <c r="AK46" s="299"/>
      <c r="AL46" s="299"/>
      <c r="AM46" s="300"/>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row>
    <row r="47" spans="1:80" x14ac:dyDescent="0.3">
      <c r="A47" s="31"/>
      <c r="B47" s="31"/>
      <c r="C47" s="31"/>
      <c r="D47" s="31"/>
      <c r="E47" s="31"/>
      <c r="F47" s="31"/>
      <c r="G47" s="31"/>
      <c r="H47" s="31"/>
      <c r="I47" s="31"/>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row>
    <row r="48" spans="1:80" x14ac:dyDescent="0.3">
      <c r="A48" s="31"/>
      <c r="B48" s="31"/>
      <c r="C48" s="31"/>
      <c r="D48" s="31"/>
      <c r="E48" s="31"/>
      <c r="F48" s="31"/>
      <c r="G48" s="31"/>
      <c r="H48" s="31"/>
      <c r="I48" s="31"/>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row>
    <row r="49" spans="1:80" x14ac:dyDescent="0.3">
      <c r="A49" s="31"/>
      <c r="B49" s="31"/>
      <c r="C49" s="31"/>
      <c r="D49" s="31"/>
      <c r="E49" s="31"/>
      <c r="F49" s="31"/>
      <c r="G49" s="31"/>
      <c r="H49" s="31"/>
      <c r="I49" s="31"/>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row>
    <row r="50" spans="1:80" x14ac:dyDescent="0.3">
      <c r="A50" s="31"/>
      <c r="B50" s="31"/>
      <c r="C50" s="31"/>
      <c r="D50" s="31"/>
      <c r="E50" s="31"/>
      <c r="F50" s="31"/>
      <c r="G50" s="31"/>
      <c r="H50" s="31"/>
      <c r="I50" s="31"/>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row>
    <row r="51" spans="1:80" ht="15" thickBot="1" x14ac:dyDescent="0.35">
      <c r="A51" s="31"/>
      <c r="B51" s="31"/>
      <c r="C51" s="31"/>
      <c r="D51" s="31"/>
      <c r="E51" s="31"/>
      <c r="F51" s="31"/>
      <c r="G51" s="31"/>
      <c r="H51" s="31"/>
      <c r="I51" s="31"/>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row>
    <row r="52" spans="1:80" x14ac:dyDescent="0.3">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row>
    <row r="53" spans="1:80" ht="15" customHeight="1" x14ac:dyDescent="0.3">
      <c r="A53" s="3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row>
    <row r="54" spans="1:80" ht="15" customHeight="1" x14ac:dyDescent="0.3">
      <c r="A54" s="31"/>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row>
    <row r="55" spans="1:80" x14ac:dyDescent="0.3">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row>
    <row r="56" spans="1:80" x14ac:dyDescent="0.3">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row>
    <row r="57" spans="1:80" x14ac:dyDescent="0.3">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row>
    <row r="58" spans="1:80" x14ac:dyDescent="0.3">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row>
    <row r="59" spans="1:80" x14ac:dyDescent="0.3">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row>
    <row r="60" spans="1:80" x14ac:dyDescent="0.3">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row>
    <row r="61" spans="1:80" x14ac:dyDescent="0.3">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row>
    <row r="62" spans="1:80" x14ac:dyDescent="0.3">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row>
    <row r="63" spans="1:80" x14ac:dyDescent="0.3">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row>
    <row r="64" spans="1:80" x14ac:dyDescent="0.3">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row>
    <row r="65" spans="1:80" x14ac:dyDescent="0.3">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row>
    <row r="66" spans="1:80" x14ac:dyDescent="0.3">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row>
    <row r="67" spans="1:80" x14ac:dyDescent="0.3">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row>
    <row r="68" spans="1:80" x14ac:dyDescent="0.3">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row>
    <row r="69" spans="1:80" x14ac:dyDescent="0.3">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row>
    <row r="70" spans="1:80" x14ac:dyDescent="0.3">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row>
    <row r="71" spans="1:80" x14ac:dyDescent="0.3">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row>
    <row r="72" spans="1:80" x14ac:dyDescent="0.3">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row>
    <row r="73" spans="1:80" x14ac:dyDescent="0.3">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row>
    <row r="74" spans="1:80" x14ac:dyDescent="0.3">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row>
    <row r="75" spans="1:80" x14ac:dyDescent="0.3">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row>
    <row r="76" spans="1:80" x14ac:dyDescent="0.3">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row>
    <row r="77" spans="1:80" x14ac:dyDescent="0.3">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row>
    <row r="78" spans="1:80" x14ac:dyDescent="0.3">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row>
    <row r="79" spans="1:80" x14ac:dyDescent="0.3">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row>
    <row r="80" spans="1:80" x14ac:dyDescent="0.3">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row>
    <row r="81" spans="1:63" x14ac:dyDescent="0.3">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row>
    <row r="82" spans="1:63" x14ac:dyDescent="0.3">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row>
    <row r="83" spans="1:63" x14ac:dyDescent="0.3">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row>
    <row r="84" spans="1:63" x14ac:dyDescent="0.3">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row>
    <row r="85" spans="1:63" x14ac:dyDescent="0.3">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row>
    <row r="86" spans="1:63" x14ac:dyDescent="0.3">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row>
    <row r="87" spans="1:63" x14ac:dyDescent="0.3">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row>
    <row r="88" spans="1:63" x14ac:dyDescent="0.3">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row>
    <row r="89" spans="1:63" x14ac:dyDescent="0.3">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row>
    <row r="90" spans="1:63" x14ac:dyDescent="0.3">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row>
    <row r="91" spans="1:63" x14ac:dyDescent="0.3">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row>
    <row r="92" spans="1:63" x14ac:dyDescent="0.3">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row>
    <row r="93" spans="1:63" x14ac:dyDescent="0.3">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row>
    <row r="94" spans="1:63" x14ac:dyDescent="0.3">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row>
    <row r="95" spans="1:63" x14ac:dyDescent="0.3">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row>
    <row r="96" spans="1:63" x14ac:dyDescent="0.3">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row>
    <row r="97" spans="1:63" x14ac:dyDescent="0.3">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row>
    <row r="98" spans="1:63" x14ac:dyDescent="0.3">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row>
    <row r="99" spans="1:63" x14ac:dyDescent="0.3">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row>
    <row r="100" spans="1:63" x14ac:dyDescent="0.3">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row>
    <row r="101" spans="1:63" x14ac:dyDescent="0.3">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row>
    <row r="102" spans="1:63" x14ac:dyDescent="0.3">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row>
    <row r="103" spans="1:63" x14ac:dyDescent="0.3">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row>
    <row r="104" spans="1:63" x14ac:dyDescent="0.3">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row>
    <row r="105" spans="1:63" x14ac:dyDescent="0.3">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row>
    <row r="106" spans="1:63" x14ac:dyDescent="0.3">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row>
    <row r="107" spans="1:63" x14ac:dyDescent="0.3">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row>
    <row r="108" spans="1:63" x14ac:dyDescent="0.3">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row>
    <row r="109" spans="1:63" x14ac:dyDescent="0.3">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row>
    <row r="110" spans="1:63" x14ac:dyDescent="0.3">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row>
    <row r="111" spans="1:63" x14ac:dyDescent="0.3">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row>
    <row r="112" spans="1:63" x14ac:dyDescent="0.3">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row>
    <row r="113" spans="1:63" x14ac:dyDescent="0.3">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row>
    <row r="114" spans="1:63" x14ac:dyDescent="0.3">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row>
    <row r="115" spans="1:63" x14ac:dyDescent="0.3">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row>
    <row r="116" spans="1:63" x14ac:dyDescent="0.3">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row>
    <row r="117" spans="1:63" x14ac:dyDescent="0.3">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row>
    <row r="118" spans="1:63" x14ac:dyDescent="0.3">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row>
    <row r="119" spans="1:63" x14ac:dyDescent="0.3">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row>
    <row r="120" spans="1:63" x14ac:dyDescent="0.3">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row>
    <row r="121" spans="1:63" x14ac:dyDescent="0.3">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row>
    <row r="122" spans="1:63" x14ac:dyDescent="0.3">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row>
    <row r="123" spans="1:63" x14ac:dyDescent="0.3">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row>
    <row r="124" spans="1:63" x14ac:dyDescent="0.3">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row>
    <row r="125" spans="1:63" x14ac:dyDescent="0.3">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row>
    <row r="126" spans="1:63" x14ac:dyDescent="0.3">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row>
    <row r="127" spans="1:63" x14ac:dyDescent="0.3">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row>
    <row r="128" spans="1:63" x14ac:dyDescent="0.3">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row>
    <row r="129" spans="2:63" x14ac:dyDescent="0.3">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row>
    <row r="130" spans="2:63" x14ac:dyDescent="0.3">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row>
    <row r="131" spans="2:63" x14ac:dyDescent="0.3">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row>
    <row r="132" spans="2:63" x14ac:dyDescent="0.3">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row>
    <row r="133" spans="2:63" x14ac:dyDescent="0.3">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row>
    <row r="134" spans="2:63" x14ac:dyDescent="0.3">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row>
    <row r="135" spans="2:63" x14ac:dyDescent="0.3">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row>
    <row r="136" spans="2:63" x14ac:dyDescent="0.3">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row>
    <row r="137" spans="2:63" x14ac:dyDescent="0.3">
      <c r="B137" s="31"/>
      <c r="C137" s="31"/>
      <c r="D137" s="31"/>
      <c r="E137" s="31"/>
      <c r="F137" s="31"/>
      <c r="G137" s="31"/>
      <c r="H137" s="31"/>
      <c r="I137" s="31"/>
    </row>
    <row r="138" spans="2:63" x14ac:dyDescent="0.3">
      <c r="B138" s="31"/>
      <c r="C138" s="31"/>
      <c r="D138" s="31"/>
      <c r="E138" s="31"/>
      <c r="F138" s="31"/>
      <c r="G138" s="31"/>
      <c r="H138" s="31"/>
      <c r="I138" s="31"/>
    </row>
    <row r="139" spans="2:63" x14ac:dyDescent="0.3">
      <c r="B139" s="31"/>
      <c r="C139" s="31"/>
      <c r="D139" s="31"/>
      <c r="E139" s="31"/>
      <c r="F139" s="31"/>
      <c r="G139" s="31"/>
      <c r="H139" s="31"/>
      <c r="I139" s="31"/>
    </row>
    <row r="140" spans="2:63" x14ac:dyDescent="0.3">
      <c r="B140" s="31"/>
      <c r="C140" s="31"/>
      <c r="D140" s="31"/>
      <c r="E140" s="31"/>
      <c r="F140" s="31"/>
      <c r="G140" s="31"/>
      <c r="H140" s="31"/>
      <c r="I140" s="3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K55"/>
  <sheetViews>
    <sheetView zoomScale="90" zoomScaleNormal="90" workbookViewId="0">
      <selection activeCell="C8" sqref="C8"/>
    </sheetView>
  </sheetViews>
  <sheetFormatPr baseColWidth="10" defaultRowHeight="14.4" x14ac:dyDescent="0.3"/>
  <cols>
    <col min="2" max="2" width="24.109375" customWidth="1"/>
    <col min="3" max="3" width="70.109375" customWidth="1"/>
    <col min="4" max="4" width="29.88671875" customWidth="1"/>
  </cols>
  <sheetData>
    <row r="1" spans="1:37" ht="23.4" x14ac:dyDescent="0.3">
      <c r="A1" s="31"/>
      <c r="B1" s="347" t="s">
        <v>30</v>
      </c>
      <c r="C1" s="347"/>
      <c r="D1" s="347"/>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7" x14ac:dyDescent="0.3">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7" ht="25.2" x14ac:dyDescent="0.3">
      <c r="A3" s="31"/>
      <c r="B3" s="3"/>
      <c r="C3" s="4" t="s">
        <v>27</v>
      </c>
      <c r="D3" s="4" t="s">
        <v>1</v>
      </c>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37" ht="50.4" x14ac:dyDescent="0.3">
      <c r="A4" s="31"/>
      <c r="B4" s="5" t="s">
        <v>26</v>
      </c>
      <c r="C4" s="6" t="s">
        <v>76</v>
      </c>
      <c r="D4" s="7">
        <v>0.2</v>
      </c>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7" ht="50.4" x14ac:dyDescent="0.3">
      <c r="A5" s="31"/>
      <c r="B5" s="8" t="s">
        <v>28</v>
      </c>
      <c r="C5" s="9" t="s">
        <v>77</v>
      </c>
      <c r="D5" s="10">
        <v>0.4</v>
      </c>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7" ht="50.4" x14ac:dyDescent="0.3">
      <c r="A6" s="31"/>
      <c r="B6" s="11" t="s">
        <v>81</v>
      </c>
      <c r="C6" s="9" t="s">
        <v>78</v>
      </c>
      <c r="D6" s="10">
        <v>0.6</v>
      </c>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7" ht="75.599999999999994" x14ac:dyDescent="0.3">
      <c r="A7" s="31"/>
      <c r="B7" s="12" t="s">
        <v>2</v>
      </c>
      <c r="C7" s="9" t="s">
        <v>79</v>
      </c>
      <c r="D7" s="10">
        <v>0.8</v>
      </c>
      <c r="E7" s="31"/>
      <c r="F7" s="31"/>
      <c r="G7" s="31"/>
      <c r="H7" s="31"/>
      <c r="I7" s="31"/>
      <c r="J7" s="31"/>
      <c r="K7" s="31"/>
      <c r="L7" s="31"/>
      <c r="M7" s="31"/>
      <c r="N7" s="31"/>
      <c r="O7" s="31"/>
      <c r="P7" s="31"/>
      <c r="Q7" s="31"/>
      <c r="R7" s="31"/>
      <c r="S7" s="31"/>
      <c r="T7" s="31"/>
      <c r="U7" s="31"/>
      <c r="V7" s="31"/>
      <c r="W7" s="31"/>
      <c r="X7" s="31"/>
      <c r="Y7" s="31"/>
      <c r="Z7" s="31"/>
      <c r="AA7" s="31"/>
      <c r="AB7" s="31"/>
      <c r="AC7" s="31"/>
      <c r="AD7" s="31"/>
      <c r="AE7" s="31"/>
    </row>
    <row r="8" spans="1:37" ht="50.4" x14ac:dyDescent="0.3">
      <c r="A8" s="31"/>
      <c r="B8" s="13" t="s">
        <v>29</v>
      </c>
      <c r="C8" s="9" t="s">
        <v>80</v>
      </c>
      <c r="D8" s="10">
        <v>1</v>
      </c>
      <c r="E8" s="31"/>
      <c r="F8" s="31"/>
      <c r="G8" s="31"/>
      <c r="H8" s="31"/>
      <c r="I8" s="31"/>
      <c r="J8" s="31"/>
      <c r="K8" s="31"/>
      <c r="L8" s="31"/>
      <c r="M8" s="31"/>
      <c r="N8" s="31"/>
      <c r="O8" s="31"/>
      <c r="P8" s="31"/>
      <c r="Q8" s="31"/>
      <c r="R8" s="31"/>
      <c r="S8" s="31"/>
      <c r="T8" s="31"/>
      <c r="U8" s="31"/>
      <c r="V8" s="31"/>
      <c r="W8" s="31"/>
      <c r="X8" s="31"/>
      <c r="Y8" s="31"/>
      <c r="Z8" s="31"/>
      <c r="AA8" s="31"/>
      <c r="AB8" s="31"/>
      <c r="AC8" s="31"/>
      <c r="AD8" s="31"/>
      <c r="AE8" s="31"/>
    </row>
    <row r="9" spans="1:37" x14ac:dyDescent="0.3">
      <c r="A9" s="31"/>
      <c r="B9" s="52"/>
      <c r="C9" s="52"/>
      <c r="D9" s="52"/>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row>
    <row r="10" spans="1:37" x14ac:dyDescent="0.3">
      <c r="A10" s="31"/>
      <c r="B10" s="53"/>
      <c r="C10" s="52"/>
      <c r="D10" s="52"/>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row>
    <row r="11" spans="1:37" x14ac:dyDescent="0.3">
      <c r="A11" s="31"/>
      <c r="B11" s="52"/>
      <c r="C11" s="52"/>
      <c r="D11" s="52"/>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1:37" x14ac:dyDescent="0.3">
      <c r="A12" s="31"/>
      <c r="B12" s="52"/>
      <c r="C12" s="52"/>
      <c r="D12" s="52"/>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3" spans="1:37" x14ac:dyDescent="0.3">
      <c r="A13" s="31"/>
      <c r="B13" s="52"/>
      <c r="C13" s="52"/>
      <c r="D13" s="52"/>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row>
    <row r="14" spans="1:37" x14ac:dyDescent="0.3">
      <c r="A14" s="31"/>
      <c r="B14" s="52"/>
      <c r="C14" s="52"/>
      <c r="D14" s="52"/>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row>
    <row r="15" spans="1:37" x14ac:dyDescent="0.3">
      <c r="A15" s="31"/>
      <c r="B15" s="52"/>
      <c r="C15" s="52"/>
      <c r="D15" s="52"/>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row>
    <row r="16" spans="1:37" x14ac:dyDescent="0.3">
      <c r="A16" s="31"/>
      <c r="B16" s="52"/>
      <c r="C16" s="52"/>
      <c r="D16" s="52"/>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row>
    <row r="17" spans="1:37" x14ac:dyDescent="0.3">
      <c r="A17" s="31"/>
      <c r="B17" s="52"/>
      <c r="C17" s="52"/>
      <c r="D17" s="52"/>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row>
    <row r="18" spans="1:37" x14ac:dyDescent="0.3">
      <c r="A18" s="31"/>
      <c r="B18" s="52"/>
      <c r="C18" s="52"/>
      <c r="D18" s="52"/>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row>
    <row r="19" spans="1:37" x14ac:dyDescent="0.3">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row>
    <row r="20" spans="1:37" x14ac:dyDescent="0.3">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row>
    <row r="21" spans="1:37" x14ac:dyDescent="0.3">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row>
    <row r="22" spans="1:37" x14ac:dyDescent="0.3">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row>
    <row r="23" spans="1:37" x14ac:dyDescent="0.3">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row>
    <row r="24" spans="1:37" x14ac:dyDescent="0.3">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row>
    <row r="25" spans="1:37" x14ac:dyDescent="0.3">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row>
    <row r="26" spans="1:37" x14ac:dyDescent="0.3">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row>
    <row r="27" spans="1:37" x14ac:dyDescent="0.3">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row>
    <row r="28" spans="1:37" x14ac:dyDescent="0.3">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37" x14ac:dyDescent="0.3">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row>
    <row r="30" spans="1:37" x14ac:dyDescent="0.3">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row>
    <row r="31" spans="1:37" x14ac:dyDescent="0.3">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row>
    <row r="32" spans="1:37" x14ac:dyDescent="0.3">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row>
    <row r="33" spans="1:31" x14ac:dyDescent="0.3">
      <c r="A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row>
    <row r="34" spans="1:31" x14ac:dyDescent="0.3">
      <c r="A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x14ac:dyDescent="0.3">
      <c r="A35" s="31"/>
    </row>
    <row r="36" spans="1:31" x14ac:dyDescent="0.3">
      <c r="A36" s="31"/>
    </row>
    <row r="37" spans="1:31" x14ac:dyDescent="0.3">
      <c r="A37" s="31"/>
    </row>
    <row r="38" spans="1:31" x14ac:dyDescent="0.3">
      <c r="A38" s="31"/>
    </row>
    <row r="39" spans="1:31" x14ac:dyDescent="0.3">
      <c r="A39" s="31"/>
    </row>
    <row r="40" spans="1:31" x14ac:dyDescent="0.3">
      <c r="A40" s="31"/>
    </row>
    <row r="41" spans="1:31" x14ac:dyDescent="0.3">
      <c r="A41" s="31"/>
    </row>
    <row r="42" spans="1:31" x14ac:dyDescent="0.3">
      <c r="A42" s="31"/>
    </row>
    <row r="43" spans="1:31" x14ac:dyDescent="0.3">
      <c r="A43" s="31"/>
    </row>
    <row r="44" spans="1:31" x14ac:dyDescent="0.3">
      <c r="A44" s="31"/>
    </row>
    <row r="45" spans="1:31" x14ac:dyDescent="0.3">
      <c r="A45" s="31"/>
    </row>
    <row r="46" spans="1:31" x14ac:dyDescent="0.3">
      <c r="A46" s="31"/>
    </row>
    <row r="47" spans="1:31" x14ac:dyDescent="0.3">
      <c r="A47" s="31"/>
    </row>
    <row r="48" spans="1:31" x14ac:dyDescent="0.3">
      <c r="A48" s="31"/>
    </row>
    <row r="49" spans="1:1" x14ac:dyDescent="0.3">
      <c r="A49" s="31"/>
    </row>
    <row r="50" spans="1:1" x14ac:dyDescent="0.3">
      <c r="A50" s="31"/>
    </row>
    <row r="51" spans="1:1" x14ac:dyDescent="0.3">
      <c r="A51" s="31"/>
    </row>
    <row r="52" spans="1:1" x14ac:dyDescent="0.3">
      <c r="A52" s="31"/>
    </row>
    <row r="53" spans="1:1" x14ac:dyDescent="0.3">
      <c r="A53" s="31"/>
    </row>
    <row r="54" spans="1:1" x14ac:dyDescent="0.3">
      <c r="A54" s="31"/>
    </row>
    <row r="55" spans="1:1" x14ac:dyDescent="0.3">
      <c r="A55" s="31"/>
    </row>
  </sheetData>
  <mergeCells count="1">
    <mergeCell ref="B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U232"/>
  <sheetViews>
    <sheetView topLeftCell="E1" zoomScale="50" zoomScaleNormal="50" workbookViewId="0">
      <selection activeCell="E199" sqref="E199"/>
    </sheetView>
  </sheetViews>
  <sheetFormatPr baseColWidth="10"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31"/>
      <c r="B1" s="348" t="s">
        <v>38</v>
      </c>
      <c r="C1" s="348"/>
      <c r="D1" s="348"/>
      <c r="E1" s="31"/>
      <c r="F1" s="31"/>
      <c r="G1" s="31"/>
      <c r="H1" s="31"/>
      <c r="I1" s="31"/>
      <c r="J1" s="31"/>
      <c r="K1" s="31"/>
      <c r="L1" s="31"/>
      <c r="M1" s="31"/>
      <c r="N1" s="31"/>
      <c r="O1" s="31"/>
      <c r="P1" s="31"/>
      <c r="Q1" s="31"/>
      <c r="R1" s="31"/>
      <c r="S1" s="31"/>
      <c r="T1" s="31"/>
      <c r="U1" s="31"/>
    </row>
    <row r="2" spans="1:21" x14ac:dyDescent="0.3">
      <c r="A2" s="31"/>
      <c r="B2" s="31"/>
      <c r="C2" s="31"/>
      <c r="D2" s="31"/>
      <c r="E2" s="31"/>
      <c r="F2" s="31"/>
      <c r="G2" s="31"/>
      <c r="H2" s="31"/>
      <c r="I2" s="31"/>
      <c r="J2" s="31"/>
      <c r="K2" s="31"/>
      <c r="L2" s="31"/>
      <c r="M2" s="31"/>
      <c r="N2" s="31"/>
      <c r="O2" s="31"/>
      <c r="P2" s="31"/>
      <c r="Q2" s="31"/>
      <c r="R2" s="31"/>
      <c r="S2" s="31"/>
      <c r="T2" s="31"/>
      <c r="U2" s="31"/>
    </row>
    <row r="3" spans="1:21" ht="30" x14ac:dyDescent="0.3">
      <c r="A3" s="31"/>
      <c r="B3" s="49"/>
      <c r="C3" s="21" t="s">
        <v>31</v>
      </c>
      <c r="D3" s="21" t="s">
        <v>32</v>
      </c>
      <c r="E3" s="31"/>
      <c r="F3" s="31"/>
      <c r="G3" s="31"/>
      <c r="H3" s="31"/>
      <c r="I3" s="31"/>
      <c r="J3" s="31"/>
      <c r="K3" s="31"/>
      <c r="L3" s="31"/>
      <c r="M3" s="31"/>
      <c r="N3" s="31"/>
      <c r="O3" s="31"/>
      <c r="P3" s="31"/>
      <c r="Q3" s="31"/>
      <c r="R3" s="31"/>
      <c r="S3" s="31"/>
      <c r="T3" s="31"/>
      <c r="U3" s="31"/>
    </row>
    <row r="4" spans="1:21" ht="32.4" x14ac:dyDescent="0.3">
      <c r="A4" s="48" t="s">
        <v>58</v>
      </c>
      <c r="B4" s="24" t="s">
        <v>75</v>
      </c>
      <c r="C4" s="29" t="s">
        <v>122</v>
      </c>
      <c r="D4" s="22" t="s">
        <v>71</v>
      </c>
      <c r="E4" s="31"/>
      <c r="F4" s="31"/>
      <c r="G4" s="31"/>
      <c r="H4" s="31"/>
      <c r="I4" s="31"/>
      <c r="J4" s="31"/>
      <c r="K4" s="31"/>
      <c r="L4" s="31"/>
      <c r="M4" s="31"/>
      <c r="N4" s="31"/>
      <c r="O4" s="31"/>
      <c r="P4" s="31"/>
      <c r="Q4" s="31"/>
      <c r="R4" s="31"/>
      <c r="S4" s="31"/>
      <c r="T4" s="31"/>
      <c r="U4" s="31"/>
    </row>
    <row r="5" spans="1:21" ht="64.8" x14ac:dyDescent="0.3">
      <c r="A5" s="48" t="s">
        <v>59</v>
      </c>
      <c r="B5" s="25" t="s">
        <v>34</v>
      </c>
      <c r="C5" s="30" t="s">
        <v>67</v>
      </c>
      <c r="D5" s="23" t="s">
        <v>72</v>
      </c>
      <c r="E5" s="31"/>
      <c r="F5" s="31"/>
      <c r="G5" s="31"/>
      <c r="H5" s="31"/>
      <c r="I5" s="31"/>
      <c r="J5" s="31"/>
      <c r="K5" s="31"/>
      <c r="L5" s="31"/>
      <c r="M5" s="31"/>
      <c r="N5" s="31"/>
      <c r="O5" s="31"/>
      <c r="P5" s="31"/>
      <c r="Q5" s="31"/>
      <c r="R5" s="31"/>
      <c r="S5" s="31"/>
      <c r="T5" s="31"/>
      <c r="U5" s="31"/>
    </row>
    <row r="6" spans="1:21" ht="64.8" x14ac:dyDescent="0.3">
      <c r="A6" s="48" t="s">
        <v>56</v>
      </c>
      <c r="B6" s="26" t="s">
        <v>35</v>
      </c>
      <c r="C6" s="30" t="s">
        <v>68</v>
      </c>
      <c r="D6" s="23" t="s">
        <v>74</v>
      </c>
      <c r="E6" s="31"/>
      <c r="F6" s="31"/>
      <c r="G6" s="31"/>
      <c r="H6" s="31"/>
      <c r="I6" s="31"/>
      <c r="J6" s="31"/>
      <c r="K6" s="31"/>
      <c r="L6" s="31"/>
      <c r="M6" s="31"/>
      <c r="N6" s="31"/>
      <c r="O6" s="31"/>
      <c r="P6" s="31"/>
      <c r="Q6" s="31"/>
      <c r="R6" s="31"/>
      <c r="S6" s="31"/>
      <c r="T6" s="31"/>
      <c r="U6" s="31"/>
    </row>
    <row r="7" spans="1:21" ht="97.2" x14ac:dyDescent="0.3">
      <c r="A7" s="48" t="s">
        <v>3</v>
      </c>
      <c r="B7" s="27" t="s">
        <v>36</v>
      </c>
      <c r="C7" s="30" t="s">
        <v>69</v>
      </c>
      <c r="D7" s="23" t="s">
        <v>73</v>
      </c>
      <c r="E7" s="31"/>
      <c r="F7" s="31"/>
      <c r="G7" s="31"/>
      <c r="H7" s="31"/>
      <c r="I7" s="31"/>
      <c r="J7" s="31"/>
      <c r="K7" s="31"/>
      <c r="L7" s="31"/>
      <c r="M7" s="31"/>
      <c r="N7" s="31"/>
      <c r="O7" s="31"/>
      <c r="P7" s="31"/>
      <c r="Q7" s="31"/>
      <c r="R7" s="31"/>
      <c r="S7" s="31"/>
      <c r="T7" s="31"/>
      <c r="U7" s="31"/>
    </row>
    <row r="8" spans="1:21" ht="64.8" x14ac:dyDescent="0.3">
      <c r="A8" s="48" t="s">
        <v>60</v>
      </c>
      <c r="B8" s="28" t="s">
        <v>37</v>
      </c>
      <c r="C8" s="30" t="s">
        <v>70</v>
      </c>
      <c r="D8" s="23" t="s">
        <v>92</v>
      </c>
      <c r="E8" s="31"/>
      <c r="F8" s="31"/>
      <c r="G8" s="31"/>
      <c r="H8" s="31"/>
      <c r="I8" s="31"/>
      <c r="J8" s="31"/>
      <c r="K8" s="31"/>
      <c r="L8" s="31"/>
      <c r="M8" s="31"/>
      <c r="N8" s="31"/>
      <c r="O8" s="31"/>
      <c r="P8" s="31"/>
      <c r="Q8" s="31"/>
      <c r="R8" s="31"/>
      <c r="S8" s="31"/>
      <c r="T8" s="31"/>
      <c r="U8" s="31"/>
    </row>
    <row r="9" spans="1:21" ht="20.399999999999999" x14ac:dyDescent="0.3">
      <c r="A9" s="48"/>
      <c r="B9" s="48"/>
      <c r="C9" s="50"/>
      <c r="D9" s="50"/>
      <c r="E9" s="31"/>
      <c r="F9" s="31"/>
      <c r="G9" s="31"/>
      <c r="H9" s="31"/>
      <c r="I9" s="31"/>
      <c r="J9" s="31"/>
      <c r="K9" s="31"/>
      <c r="L9" s="31"/>
      <c r="M9" s="31"/>
      <c r="N9" s="31"/>
      <c r="O9" s="31"/>
      <c r="P9" s="31"/>
      <c r="Q9" s="31"/>
      <c r="R9" s="31"/>
      <c r="S9" s="31"/>
      <c r="T9" s="31"/>
      <c r="U9" s="31"/>
    </row>
    <row r="10" spans="1:21" x14ac:dyDescent="0.3">
      <c r="A10" s="48"/>
      <c r="B10" s="51"/>
      <c r="C10" s="51"/>
      <c r="D10" s="51"/>
      <c r="E10" s="31"/>
      <c r="F10" s="31"/>
      <c r="G10" s="31"/>
      <c r="H10" s="31"/>
      <c r="I10" s="31"/>
      <c r="J10" s="31"/>
      <c r="K10" s="31"/>
      <c r="L10" s="31"/>
      <c r="M10" s="31"/>
      <c r="N10" s="31"/>
      <c r="O10" s="31"/>
      <c r="P10" s="31"/>
      <c r="Q10" s="31"/>
      <c r="R10" s="31"/>
      <c r="S10" s="31"/>
      <c r="T10" s="31"/>
      <c r="U10" s="31"/>
    </row>
    <row r="11" spans="1:21" x14ac:dyDescent="0.3">
      <c r="A11" s="48"/>
      <c r="B11" s="48" t="s">
        <v>65</v>
      </c>
      <c r="C11" s="48" t="s">
        <v>110</v>
      </c>
      <c r="D11" s="48" t="s">
        <v>117</v>
      </c>
      <c r="E11" s="31"/>
      <c r="F11" s="31"/>
      <c r="G11" s="31"/>
      <c r="H11" s="31"/>
      <c r="I11" s="31"/>
      <c r="J11" s="31"/>
      <c r="K11" s="31"/>
      <c r="L11" s="31"/>
      <c r="M11" s="31"/>
      <c r="N11" s="31"/>
      <c r="O11" s="31"/>
      <c r="P11" s="31"/>
      <c r="Q11" s="31"/>
      <c r="R11" s="31"/>
      <c r="S11" s="31"/>
      <c r="T11" s="31"/>
      <c r="U11" s="31"/>
    </row>
    <row r="12" spans="1:21" x14ac:dyDescent="0.3">
      <c r="A12" s="48"/>
      <c r="B12" s="48" t="s">
        <v>63</v>
      </c>
      <c r="C12" s="48" t="s">
        <v>114</v>
      </c>
      <c r="D12" s="48" t="s">
        <v>118</v>
      </c>
      <c r="E12" s="31"/>
      <c r="F12" s="31"/>
      <c r="G12" s="31"/>
      <c r="H12" s="31"/>
      <c r="I12" s="31"/>
      <c r="J12" s="31"/>
      <c r="K12" s="31"/>
      <c r="L12" s="31"/>
      <c r="M12" s="31"/>
      <c r="N12" s="31"/>
      <c r="O12" s="31"/>
      <c r="P12" s="31"/>
      <c r="Q12" s="31"/>
      <c r="R12" s="31"/>
      <c r="S12" s="31"/>
      <c r="T12" s="31"/>
      <c r="U12" s="31"/>
    </row>
    <row r="13" spans="1:21" x14ac:dyDescent="0.3">
      <c r="A13" s="48"/>
      <c r="B13" s="48"/>
      <c r="C13" s="48" t="s">
        <v>113</v>
      </c>
      <c r="D13" s="48" t="s">
        <v>119</v>
      </c>
      <c r="E13" s="31"/>
      <c r="F13" s="31"/>
      <c r="G13" s="31"/>
      <c r="H13" s="31"/>
      <c r="I13" s="31"/>
      <c r="J13" s="31"/>
      <c r="K13" s="31"/>
      <c r="L13" s="31"/>
      <c r="M13" s="31"/>
      <c r="N13" s="31"/>
      <c r="O13" s="31"/>
      <c r="P13" s="31"/>
      <c r="Q13" s="31"/>
      <c r="R13" s="31"/>
      <c r="S13" s="31"/>
      <c r="T13" s="31"/>
      <c r="U13" s="31"/>
    </row>
    <row r="14" spans="1:21" x14ac:dyDescent="0.3">
      <c r="A14" s="48"/>
      <c r="B14" s="48"/>
      <c r="C14" s="48" t="s">
        <v>115</v>
      </c>
      <c r="D14" s="48" t="s">
        <v>120</v>
      </c>
      <c r="E14" s="31"/>
      <c r="F14" s="31"/>
      <c r="G14" s="31"/>
      <c r="H14" s="31"/>
      <c r="I14" s="31"/>
      <c r="J14" s="31"/>
      <c r="K14" s="31"/>
      <c r="L14" s="31"/>
      <c r="M14" s="31"/>
      <c r="N14" s="31"/>
      <c r="O14" s="31"/>
      <c r="P14" s="31"/>
      <c r="Q14" s="31"/>
      <c r="R14" s="31"/>
      <c r="S14" s="31"/>
      <c r="T14" s="31"/>
      <c r="U14" s="31"/>
    </row>
    <row r="15" spans="1:21" x14ac:dyDescent="0.3">
      <c r="A15" s="48"/>
      <c r="B15" s="48"/>
      <c r="C15" s="48" t="s">
        <v>116</v>
      </c>
      <c r="D15" s="48" t="s">
        <v>121</v>
      </c>
      <c r="E15" s="31"/>
      <c r="F15" s="31"/>
      <c r="G15" s="31"/>
      <c r="H15" s="31"/>
      <c r="I15" s="31"/>
      <c r="J15" s="31"/>
      <c r="K15" s="31"/>
      <c r="L15" s="31"/>
      <c r="M15" s="31"/>
      <c r="N15" s="31"/>
      <c r="O15" s="31"/>
      <c r="P15" s="31"/>
      <c r="Q15" s="31"/>
      <c r="R15" s="31"/>
      <c r="S15" s="31"/>
      <c r="T15" s="31"/>
      <c r="U15" s="31"/>
    </row>
    <row r="16" spans="1:21" x14ac:dyDescent="0.3">
      <c r="A16" s="48"/>
      <c r="B16" s="48"/>
      <c r="C16" s="48"/>
      <c r="D16" s="48"/>
      <c r="E16" s="31"/>
      <c r="F16" s="31"/>
      <c r="G16" s="31"/>
      <c r="H16" s="31"/>
      <c r="I16" s="31"/>
      <c r="J16" s="31"/>
      <c r="K16" s="31"/>
      <c r="L16" s="31"/>
      <c r="M16" s="31"/>
      <c r="N16" s="31"/>
      <c r="O16" s="31"/>
    </row>
    <row r="17" spans="1:15" x14ac:dyDescent="0.3">
      <c r="A17" s="48"/>
      <c r="B17" s="48"/>
      <c r="C17" s="48"/>
      <c r="D17" s="48"/>
      <c r="E17" s="31"/>
      <c r="F17" s="31"/>
      <c r="G17" s="31"/>
      <c r="H17" s="31"/>
      <c r="I17" s="31"/>
      <c r="J17" s="31"/>
      <c r="K17" s="31"/>
      <c r="L17" s="31"/>
      <c r="M17" s="31"/>
      <c r="N17" s="31"/>
      <c r="O17" s="31"/>
    </row>
    <row r="18" spans="1:15" x14ac:dyDescent="0.3">
      <c r="A18" s="48"/>
      <c r="B18" s="52"/>
      <c r="C18" s="52"/>
      <c r="D18" s="52"/>
      <c r="E18" s="31"/>
      <c r="F18" s="31"/>
      <c r="G18" s="31"/>
      <c r="H18" s="31"/>
      <c r="I18" s="31"/>
      <c r="J18" s="31"/>
      <c r="K18" s="31"/>
      <c r="L18" s="31"/>
      <c r="M18" s="31"/>
      <c r="N18" s="31"/>
      <c r="O18" s="31"/>
    </row>
    <row r="19" spans="1:15" x14ac:dyDescent="0.3">
      <c r="A19" s="48"/>
      <c r="B19" s="52"/>
      <c r="C19" s="52"/>
      <c r="D19" s="52"/>
      <c r="E19" s="31"/>
      <c r="F19" s="31"/>
      <c r="G19" s="31"/>
      <c r="H19" s="31"/>
      <c r="I19" s="31"/>
      <c r="J19" s="31"/>
      <c r="K19" s="31"/>
      <c r="L19" s="31"/>
      <c r="M19" s="31"/>
      <c r="N19" s="31"/>
      <c r="O19" s="31"/>
    </row>
    <row r="20" spans="1:15" x14ac:dyDescent="0.3">
      <c r="A20" s="48"/>
      <c r="B20" s="52"/>
      <c r="C20" s="52"/>
      <c r="D20" s="52"/>
      <c r="E20" s="31"/>
      <c r="F20" s="31"/>
      <c r="G20" s="31"/>
      <c r="H20" s="31"/>
      <c r="I20" s="31"/>
      <c r="J20" s="31"/>
      <c r="K20" s="31"/>
      <c r="L20" s="31"/>
      <c r="M20" s="31"/>
      <c r="N20" s="31"/>
      <c r="O20" s="31"/>
    </row>
    <row r="21" spans="1:15" x14ac:dyDescent="0.3">
      <c r="A21" s="48"/>
      <c r="B21" s="52"/>
      <c r="C21" s="52"/>
      <c r="D21" s="52"/>
      <c r="E21" s="31"/>
      <c r="F21" s="31"/>
      <c r="G21" s="31"/>
      <c r="H21" s="31"/>
      <c r="I21" s="31"/>
      <c r="J21" s="31"/>
      <c r="K21" s="31"/>
      <c r="L21" s="31"/>
      <c r="M21" s="31"/>
      <c r="N21" s="31"/>
      <c r="O21" s="31"/>
    </row>
    <row r="22" spans="1:15" ht="20.399999999999999" x14ac:dyDescent="0.3">
      <c r="A22" s="48"/>
      <c r="B22" s="48"/>
      <c r="C22" s="50"/>
      <c r="D22" s="50"/>
      <c r="E22" s="31"/>
      <c r="F22" s="31"/>
      <c r="G22" s="31"/>
      <c r="H22" s="31"/>
      <c r="I22" s="31"/>
      <c r="J22" s="31"/>
      <c r="K22" s="31"/>
      <c r="L22" s="31"/>
      <c r="M22" s="31"/>
      <c r="N22" s="31"/>
      <c r="O22" s="31"/>
    </row>
    <row r="23" spans="1:15" ht="20.399999999999999" x14ac:dyDescent="0.3">
      <c r="A23" s="48"/>
      <c r="B23" s="48"/>
      <c r="C23" s="50"/>
      <c r="D23" s="50"/>
      <c r="E23" s="31"/>
      <c r="F23" s="31"/>
      <c r="G23" s="31"/>
      <c r="H23" s="31"/>
      <c r="I23" s="31"/>
      <c r="J23" s="31"/>
      <c r="K23" s="31"/>
      <c r="L23" s="31"/>
      <c r="M23" s="31"/>
      <c r="N23" s="31"/>
      <c r="O23" s="31"/>
    </row>
    <row r="24" spans="1:15" ht="20.399999999999999" x14ac:dyDescent="0.3">
      <c r="A24" s="48"/>
      <c r="B24" s="48"/>
      <c r="C24" s="50"/>
      <c r="D24" s="50"/>
      <c r="E24" s="31"/>
      <c r="F24" s="31"/>
      <c r="G24" s="31"/>
      <c r="H24" s="31"/>
      <c r="I24" s="31"/>
      <c r="J24" s="31"/>
      <c r="K24" s="31"/>
      <c r="L24" s="31"/>
      <c r="M24" s="31"/>
      <c r="N24" s="31"/>
      <c r="O24" s="31"/>
    </row>
    <row r="25" spans="1:15" ht="20.399999999999999" x14ac:dyDescent="0.3">
      <c r="A25" s="48"/>
      <c r="B25" s="48"/>
      <c r="C25" s="50"/>
      <c r="D25" s="50"/>
      <c r="E25" s="31"/>
      <c r="F25" s="31"/>
      <c r="G25" s="31"/>
      <c r="H25" s="31"/>
      <c r="I25" s="31"/>
      <c r="J25" s="31"/>
      <c r="K25" s="31"/>
      <c r="L25" s="31"/>
      <c r="M25" s="31"/>
      <c r="N25" s="31"/>
      <c r="O25" s="31"/>
    </row>
    <row r="26" spans="1:15" ht="20.399999999999999" x14ac:dyDescent="0.3">
      <c r="A26" s="48"/>
      <c r="B26" s="48"/>
      <c r="C26" s="50"/>
      <c r="D26" s="50"/>
      <c r="E26" s="31"/>
      <c r="F26" s="31"/>
      <c r="G26" s="31"/>
      <c r="H26" s="31"/>
      <c r="I26" s="31"/>
      <c r="J26" s="31"/>
      <c r="K26" s="31"/>
      <c r="L26" s="31"/>
      <c r="M26" s="31"/>
      <c r="N26" s="31"/>
      <c r="O26" s="31"/>
    </row>
    <row r="27" spans="1:15" ht="20.399999999999999" x14ac:dyDescent="0.3">
      <c r="A27" s="48"/>
      <c r="B27" s="48"/>
      <c r="C27" s="50"/>
      <c r="D27" s="50"/>
      <c r="E27" s="31"/>
      <c r="F27" s="31"/>
      <c r="G27" s="31"/>
      <c r="H27" s="31"/>
      <c r="I27" s="31"/>
      <c r="J27" s="31"/>
      <c r="K27" s="31"/>
      <c r="L27" s="31"/>
      <c r="M27" s="31"/>
      <c r="N27" s="31"/>
      <c r="O27" s="31"/>
    </row>
    <row r="28" spans="1:15" ht="20.399999999999999" x14ac:dyDescent="0.3">
      <c r="A28" s="48"/>
      <c r="B28" s="48"/>
      <c r="C28" s="50"/>
      <c r="D28" s="50"/>
      <c r="E28" s="31"/>
      <c r="F28" s="31"/>
      <c r="G28" s="31"/>
      <c r="H28" s="31"/>
      <c r="I28" s="31"/>
      <c r="J28" s="31"/>
      <c r="K28" s="31"/>
      <c r="L28" s="31"/>
      <c r="M28" s="31"/>
      <c r="N28" s="31"/>
      <c r="O28" s="31"/>
    </row>
    <row r="29" spans="1:15" ht="20.399999999999999" x14ac:dyDescent="0.3">
      <c r="A29" s="48"/>
      <c r="B29" s="48"/>
      <c r="C29" s="50"/>
      <c r="D29" s="50"/>
      <c r="E29" s="31"/>
      <c r="F29" s="31"/>
      <c r="G29" s="31"/>
      <c r="H29" s="31"/>
      <c r="I29" s="31"/>
      <c r="J29" s="31"/>
      <c r="K29" s="31"/>
      <c r="L29" s="31"/>
      <c r="M29" s="31"/>
      <c r="N29" s="31"/>
      <c r="O29" s="31"/>
    </row>
    <row r="30" spans="1:15" ht="20.399999999999999" x14ac:dyDescent="0.3">
      <c r="A30" s="48"/>
      <c r="B30" s="48"/>
      <c r="C30" s="50"/>
      <c r="D30" s="50"/>
      <c r="E30" s="31"/>
      <c r="F30" s="31"/>
      <c r="G30" s="31"/>
      <c r="H30" s="31"/>
      <c r="I30" s="31"/>
      <c r="J30" s="31"/>
      <c r="K30" s="31"/>
      <c r="L30" s="31"/>
      <c r="M30" s="31"/>
      <c r="N30" s="31"/>
      <c r="O30" s="31"/>
    </row>
    <row r="31" spans="1:15" ht="20.399999999999999" x14ac:dyDescent="0.3">
      <c r="A31" s="48"/>
      <c r="B31" s="48"/>
      <c r="C31" s="50"/>
      <c r="D31" s="50"/>
      <c r="E31" s="31"/>
      <c r="F31" s="31"/>
      <c r="G31" s="31"/>
      <c r="H31" s="31"/>
      <c r="I31" s="31"/>
      <c r="J31" s="31"/>
      <c r="K31" s="31"/>
      <c r="L31" s="31"/>
      <c r="M31" s="31"/>
      <c r="N31" s="31"/>
      <c r="O31" s="31"/>
    </row>
    <row r="32" spans="1:15" ht="20.399999999999999" x14ac:dyDescent="0.3">
      <c r="A32" s="48"/>
      <c r="B32" s="48"/>
      <c r="C32" s="50"/>
      <c r="D32" s="50"/>
      <c r="E32" s="31"/>
      <c r="F32" s="31"/>
      <c r="G32" s="31"/>
      <c r="H32" s="31"/>
      <c r="I32" s="31"/>
      <c r="J32" s="31"/>
      <c r="K32" s="31"/>
      <c r="L32" s="31"/>
      <c r="M32" s="31"/>
      <c r="N32" s="31"/>
      <c r="O32" s="31"/>
    </row>
    <row r="33" spans="1:15" ht="20.399999999999999" x14ac:dyDescent="0.3">
      <c r="A33" s="48"/>
      <c r="B33" s="48"/>
      <c r="C33" s="50"/>
      <c r="D33" s="50"/>
      <c r="E33" s="31"/>
      <c r="F33" s="31"/>
      <c r="G33" s="31"/>
      <c r="H33" s="31"/>
      <c r="I33" s="31"/>
      <c r="J33" s="31"/>
      <c r="K33" s="31"/>
      <c r="L33" s="31"/>
      <c r="M33" s="31"/>
      <c r="N33" s="31"/>
      <c r="O33" s="31"/>
    </row>
    <row r="34" spans="1:15" ht="20.399999999999999" x14ac:dyDescent="0.3">
      <c r="A34" s="48"/>
      <c r="B34" s="48"/>
      <c r="C34" s="50"/>
      <c r="D34" s="50"/>
      <c r="E34" s="31"/>
      <c r="F34" s="31"/>
      <c r="G34" s="31"/>
      <c r="H34" s="31"/>
      <c r="I34" s="31"/>
      <c r="J34" s="31"/>
      <c r="K34" s="31"/>
      <c r="L34" s="31"/>
      <c r="M34" s="31"/>
      <c r="N34" s="31"/>
      <c r="O34" s="31"/>
    </row>
    <row r="35" spans="1:15" ht="20.399999999999999" x14ac:dyDescent="0.3">
      <c r="A35" s="48"/>
      <c r="B35" s="48"/>
      <c r="C35" s="50"/>
      <c r="D35" s="50"/>
      <c r="E35" s="31"/>
      <c r="F35" s="31"/>
      <c r="G35" s="31"/>
      <c r="H35" s="31"/>
      <c r="I35" s="31"/>
      <c r="J35" s="31"/>
      <c r="K35" s="31"/>
      <c r="L35" s="31"/>
      <c r="M35" s="31"/>
      <c r="N35" s="31"/>
      <c r="O35" s="31"/>
    </row>
    <row r="36" spans="1:15" ht="20.399999999999999" x14ac:dyDescent="0.3">
      <c r="A36" s="48"/>
      <c r="B36" s="48"/>
      <c r="C36" s="50"/>
      <c r="D36" s="50"/>
      <c r="E36" s="31"/>
      <c r="F36" s="31"/>
      <c r="G36" s="31"/>
      <c r="H36" s="31"/>
      <c r="I36" s="31"/>
      <c r="J36" s="31"/>
      <c r="K36" s="31"/>
      <c r="L36" s="31"/>
      <c r="M36" s="31"/>
      <c r="N36" s="31"/>
      <c r="O36" s="31"/>
    </row>
    <row r="37" spans="1:15" ht="20.399999999999999" x14ac:dyDescent="0.3">
      <c r="A37" s="48"/>
      <c r="B37" s="48"/>
      <c r="C37" s="50"/>
      <c r="D37" s="50"/>
      <c r="E37" s="31"/>
      <c r="F37" s="31"/>
      <c r="G37" s="31"/>
      <c r="H37" s="31"/>
      <c r="I37" s="31"/>
      <c r="J37" s="31"/>
      <c r="K37" s="31"/>
      <c r="L37" s="31"/>
      <c r="M37" s="31"/>
      <c r="N37" s="31"/>
      <c r="O37" s="31"/>
    </row>
    <row r="38" spans="1:15" ht="20.399999999999999" x14ac:dyDescent="0.3">
      <c r="A38" s="48"/>
      <c r="B38" s="48"/>
      <c r="C38" s="50"/>
      <c r="D38" s="50"/>
      <c r="E38" s="31"/>
      <c r="F38" s="31"/>
      <c r="G38" s="31"/>
      <c r="H38" s="31"/>
      <c r="I38" s="31"/>
      <c r="J38" s="31"/>
      <c r="K38" s="31"/>
      <c r="L38" s="31"/>
      <c r="M38" s="31"/>
      <c r="N38" s="31"/>
      <c r="O38" s="31"/>
    </row>
    <row r="39" spans="1:15" ht="20.399999999999999" x14ac:dyDescent="0.3">
      <c r="A39" s="48"/>
      <c r="B39" s="48"/>
      <c r="C39" s="50"/>
      <c r="D39" s="50"/>
      <c r="E39" s="31"/>
      <c r="F39" s="31"/>
      <c r="G39" s="31"/>
      <c r="H39" s="31"/>
      <c r="I39" s="31"/>
      <c r="J39" s="31"/>
      <c r="K39" s="31"/>
      <c r="L39" s="31"/>
      <c r="M39" s="31"/>
      <c r="N39" s="31"/>
      <c r="O39" s="31"/>
    </row>
    <row r="40" spans="1:15" ht="20.399999999999999" x14ac:dyDescent="0.3">
      <c r="A40" s="48"/>
      <c r="B40" s="48"/>
      <c r="C40" s="50"/>
      <c r="D40" s="50"/>
      <c r="E40" s="31"/>
      <c r="F40" s="31"/>
      <c r="G40" s="31"/>
      <c r="H40" s="31"/>
      <c r="I40" s="31"/>
      <c r="J40" s="31"/>
      <c r="K40" s="31"/>
      <c r="L40" s="31"/>
      <c r="M40" s="31"/>
      <c r="N40" s="31"/>
      <c r="O40" s="31"/>
    </row>
    <row r="41" spans="1:15" ht="20.399999999999999" x14ac:dyDescent="0.3">
      <c r="A41" s="48"/>
      <c r="B41" s="48"/>
      <c r="C41" s="50"/>
      <c r="D41" s="50"/>
      <c r="E41" s="31"/>
      <c r="F41" s="31"/>
      <c r="G41" s="31"/>
      <c r="H41" s="31"/>
      <c r="I41" s="31"/>
      <c r="J41" s="31"/>
      <c r="K41" s="31"/>
      <c r="L41" s="31"/>
      <c r="M41" s="31"/>
      <c r="N41" s="31"/>
      <c r="O41" s="31"/>
    </row>
    <row r="42" spans="1:15" ht="20.399999999999999" x14ac:dyDescent="0.3">
      <c r="A42" s="48"/>
      <c r="B42" s="48"/>
      <c r="C42" s="50"/>
      <c r="D42" s="50"/>
      <c r="E42" s="31"/>
      <c r="F42" s="31"/>
      <c r="G42" s="31"/>
      <c r="H42" s="31"/>
      <c r="I42" s="31"/>
      <c r="J42" s="31"/>
      <c r="K42" s="31"/>
      <c r="L42" s="31"/>
      <c r="M42" s="31"/>
      <c r="N42" s="31"/>
      <c r="O42" s="31"/>
    </row>
    <row r="43" spans="1:15" ht="20.399999999999999" x14ac:dyDescent="0.3">
      <c r="A43" s="48"/>
      <c r="B43" s="48"/>
      <c r="C43" s="50"/>
      <c r="D43" s="50"/>
      <c r="E43" s="31"/>
      <c r="F43" s="31"/>
      <c r="G43" s="31"/>
      <c r="H43" s="31"/>
      <c r="I43" s="31"/>
      <c r="J43" s="31"/>
      <c r="K43" s="31"/>
      <c r="L43" s="31"/>
      <c r="M43" s="31"/>
      <c r="N43" s="31"/>
      <c r="O43" s="31"/>
    </row>
    <row r="44" spans="1:15" ht="20.399999999999999" x14ac:dyDescent="0.3">
      <c r="A44" s="48"/>
      <c r="B44" s="48"/>
      <c r="C44" s="50"/>
      <c r="D44" s="50"/>
      <c r="E44" s="31"/>
      <c r="F44" s="31"/>
      <c r="G44" s="31"/>
      <c r="H44" s="31"/>
      <c r="I44" s="31"/>
      <c r="J44" s="31"/>
      <c r="K44" s="31"/>
      <c r="L44" s="31"/>
      <c r="M44" s="31"/>
      <c r="N44" s="31"/>
      <c r="O44" s="31"/>
    </row>
    <row r="45" spans="1:15" ht="20.399999999999999" x14ac:dyDescent="0.3">
      <c r="A45" s="48"/>
      <c r="B45" s="48"/>
      <c r="C45" s="50"/>
      <c r="D45" s="50"/>
      <c r="E45" s="31"/>
      <c r="F45" s="31"/>
      <c r="G45" s="31"/>
      <c r="H45" s="31"/>
      <c r="I45" s="31"/>
      <c r="J45" s="31"/>
      <c r="K45" s="31"/>
      <c r="L45" s="31"/>
      <c r="M45" s="31"/>
      <c r="N45" s="31"/>
      <c r="O45" s="31"/>
    </row>
    <row r="46" spans="1:15" ht="20.399999999999999" x14ac:dyDescent="0.3">
      <c r="A46" s="48"/>
      <c r="B46" s="48"/>
      <c r="C46" s="50"/>
      <c r="D46" s="50"/>
      <c r="E46" s="31"/>
      <c r="F46" s="31"/>
      <c r="G46" s="31"/>
      <c r="H46" s="31"/>
      <c r="I46" s="31"/>
      <c r="J46" s="31"/>
      <c r="K46" s="31"/>
      <c r="L46" s="31"/>
      <c r="M46" s="31"/>
      <c r="N46" s="31"/>
      <c r="O46" s="31"/>
    </row>
    <row r="47" spans="1:15" ht="20.399999999999999" x14ac:dyDescent="0.3">
      <c r="A47" s="48"/>
      <c r="B47" s="48"/>
      <c r="C47" s="50"/>
      <c r="D47" s="50"/>
      <c r="E47" s="31"/>
      <c r="F47" s="31"/>
      <c r="G47" s="31"/>
      <c r="H47" s="31"/>
      <c r="I47" s="31"/>
      <c r="J47" s="31"/>
      <c r="K47" s="31"/>
      <c r="L47" s="31"/>
      <c r="M47" s="31"/>
      <c r="N47" s="31"/>
      <c r="O47" s="31"/>
    </row>
    <row r="48" spans="1:15" ht="20.399999999999999" x14ac:dyDescent="0.3">
      <c r="A48" s="48"/>
      <c r="B48" s="48"/>
      <c r="C48" s="50"/>
      <c r="D48" s="50"/>
      <c r="E48" s="31"/>
      <c r="F48" s="31"/>
      <c r="G48" s="31"/>
      <c r="H48" s="31"/>
      <c r="I48" s="31"/>
      <c r="J48" s="31"/>
      <c r="K48" s="31"/>
      <c r="L48" s="31"/>
      <c r="M48" s="31"/>
      <c r="N48" s="31"/>
      <c r="O48" s="31"/>
    </row>
    <row r="49" spans="1:15" ht="20.399999999999999" x14ac:dyDescent="0.3">
      <c r="A49" s="48"/>
      <c r="B49" s="48"/>
      <c r="C49" s="50"/>
      <c r="D49" s="50"/>
      <c r="E49" s="31"/>
      <c r="F49" s="31"/>
      <c r="G49" s="31"/>
      <c r="H49" s="31"/>
      <c r="I49" s="31"/>
      <c r="J49" s="31"/>
      <c r="K49" s="31"/>
      <c r="L49" s="31"/>
      <c r="M49" s="31"/>
      <c r="N49" s="31"/>
      <c r="O49" s="31"/>
    </row>
    <row r="50" spans="1:15" ht="20.399999999999999" x14ac:dyDescent="0.3">
      <c r="A50" s="48"/>
      <c r="B50" s="48"/>
      <c r="C50" s="50"/>
      <c r="D50" s="50"/>
      <c r="E50" s="31"/>
      <c r="F50" s="31"/>
      <c r="G50" s="31"/>
      <c r="H50" s="31"/>
      <c r="I50" s="31"/>
      <c r="J50" s="31"/>
      <c r="K50" s="31"/>
      <c r="L50" s="31"/>
      <c r="M50" s="31"/>
      <c r="N50" s="31"/>
      <c r="O50" s="31"/>
    </row>
    <row r="51" spans="1:15" ht="20.399999999999999" x14ac:dyDescent="0.3">
      <c r="A51" s="48"/>
      <c r="B51" s="48"/>
      <c r="C51" s="50"/>
      <c r="D51" s="50"/>
      <c r="E51" s="31"/>
      <c r="F51" s="31"/>
      <c r="G51" s="31"/>
      <c r="H51" s="31"/>
      <c r="I51" s="31"/>
      <c r="J51" s="31"/>
      <c r="K51" s="31"/>
      <c r="L51" s="31"/>
      <c r="M51" s="31"/>
      <c r="N51" s="31"/>
      <c r="O51" s="31"/>
    </row>
    <row r="52" spans="1:15" ht="20.399999999999999" x14ac:dyDescent="0.3">
      <c r="A52" s="48"/>
      <c r="B52" s="15"/>
      <c r="C52" s="20"/>
      <c r="D52" s="20"/>
    </row>
    <row r="53" spans="1:15" ht="20.399999999999999" x14ac:dyDescent="0.3">
      <c r="A53" s="48"/>
      <c r="B53" s="15"/>
      <c r="C53" s="20"/>
      <c r="D53" s="20"/>
    </row>
    <row r="54" spans="1:15" ht="20.399999999999999" x14ac:dyDescent="0.3">
      <c r="A54" s="48"/>
      <c r="B54" s="15"/>
      <c r="C54" s="20"/>
      <c r="D54" s="20"/>
    </row>
    <row r="55" spans="1:15" ht="20.399999999999999" x14ac:dyDescent="0.3">
      <c r="A55" s="48"/>
      <c r="B55" s="15"/>
      <c r="C55" s="20"/>
      <c r="D55" s="20"/>
    </row>
    <row r="56" spans="1:15" ht="20.399999999999999" x14ac:dyDescent="0.3">
      <c r="A56" s="48"/>
      <c r="B56" s="15"/>
      <c r="C56" s="20"/>
      <c r="D56" s="20"/>
    </row>
    <row r="57" spans="1:15" ht="20.399999999999999" x14ac:dyDescent="0.3">
      <c r="A57" s="48"/>
      <c r="B57" s="15"/>
      <c r="C57" s="20"/>
      <c r="D57" s="20"/>
    </row>
    <row r="58" spans="1:15" ht="20.399999999999999" x14ac:dyDescent="0.3">
      <c r="A58" s="48"/>
      <c r="B58" s="15"/>
      <c r="C58" s="20"/>
      <c r="D58" s="20"/>
    </row>
    <row r="59" spans="1:15" ht="20.399999999999999" x14ac:dyDescent="0.3">
      <c r="A59" s="48"/>
      <c r="B59" s="15"/>
      <c r="C59" s="20"/>
      <c r="D59" s="20"/>
    </row>
    <row r="60" spans="1:15" ht="20.399999999999999" x14ac:dyDescent="0.3">
      <c r="A60" s="48"/>
      <c r="B60" s="15"/>
      <c r="C60" s="20"/>
      <c r="D60" s="20"/>
    </row>
    <row r="61" spans="1:15" ht="20.399999999999999" x14ac:dyDescent="0.3">
      <c r="A61" s="48"/>
      <c r="B61" s="15"/>
      <c r="C61" s="20"/>
      <c r="D61" s="20"/>
    </row>
    <row r="62" spans="1:15" ht="20.399999999999999" x14ac:dyDescent="0.3">
      <c r="A62" s="48"/>
      <c r="B62" s="15"/>
      <c r="C62" s="20"/>
      <c r="D62" s="20"/>
    </row>
    <row r="63" spans="1:15" ht="20.399999999999999" x14ac:dyDescent="0.3">
      <c r="A63" s="48"/>
      <c r="B63" s="15"/>
      <c r="C63" s="20"/>
      <c r="D63" s="20"/>
    </row>
    <row r="64" spans="1:15" ht="20.399999999999999" x14ac:dyDescent="0.3">
      <c r="A64" s="48"/>
      <c r="B64" s="15"/>
      <c r="C64" s="20"/>
      <c r="D64" s="20"/>
    </row>
    <row r="65" spans="1:4" ht="20.399999999999999" x14ac:dyDescent="0.3">
      <c r="A65" s="48"/>
      <c r="B65" s="15"/>
      <c r="C65" s="20"/>
      <c r="D65" s="20"/>
    </row>
    <row r="66" spans="1:4" ht="20.399999999999999" x14ac:dyDescent="0.3">
      <c r="A66" s="48"/>
      <c r="B66" s="15"/>
      <c r="C66" s="20"/>
      <c r="D66" s="20"/>
    </row>
    <row r="67" spans="1:4" ht="20.399999999999999" x14ac:dyDescent="0.3">
      <c r="A67" s="48"/>
      <c r="B67" s="15"/>
      <c r="C67" s="20"/>
      <c r="D67" s="20"/>
    </row>
    <row r="68" spans="1:4" ht="20.399999999999999" x14ac:dyDescent="0.3">
      <c r="A68" s="48"/>
      <c r="B68" s="15"/>
      <c r="C68" s="20"/>
      <c r="D68" s="20"/>
    </row>
    <row r="69" spans="1:4" ht="20.399999999999999" x14ac:dyDescent="0.3">
      <c r="A69" s="48"/>
      <c r="B69" s="15"/>
      <c r="C69" s="20"/>
      <c r="D69" s="20"/>
    </row>
    <row r="70" spans="1:4" ht="20.399999999999999" x14ac:dyDescent="0.3">
      <c r="A70" s="48"/>
      <c r="B70" s="15"/>
      <c r="C70" s="20"/>
      <c r="D70" s="20"/>
    </row>
    <row r="71" spans="1:4" ht="20.399999999999999" x14ac:dyDescent="0.3">
      <c r="A71" s="48"/>
      <c r="B71" s="15"/>
      <c r="C71" s="20"/>
      <c r="D71" s="20"/>
    </row>
    <row r="72" spans="1:4" ht="20.399999999999999" x14ac:dyDescent="0.3">
      <c r="A72" s="48"/>
      <c r="B72" s="15"/>
      <c r="C72" s="20"/>
      <c r="D72" s="20"/>
    </row>
    <row r="73" spans="1:4" ht="20.399999999999999" x14ac:dyDescent="0.3">
      <c r="A73" s="48"/>
      <c r="B73" s="15"/>
      <c r="C73" s="20"/>
      <c r="D73" s="20"/>
    </row>
    <row r="74" spans="1:4" ht="20.399999999999999" x14ac:dyDescent="0.3">
      <c r="A74" s="48"/>
      <c r="B74" s="15"/>
      <c r="C74" s="20"/>
      <c r="D74" s="20"/>
    </row>
    <row r="75" spans="1:4" ht="20.399999999999999" x14ac:dyDescent="0.3">
      <c r="A75" s="48"/>
      <c r="B75" s="15"/>
      <c r="C75" s="20"/>
      <c r="D75" s="20"/>
    </row>
    <row r="76" spans="1:4" ht="20.399999999999999" x14ac:dyDescent="0.3">
      <c r="A76" s="48"/>
      <c r="B76" s="15"/>
      <c r="C76" s="20"/>
      <c r="D76" s="20"/>
    </row>
    <row r="77" spans="1:4" ht="20.399999999999999" x14ac:dyDescent="0.3">
      <c r="A77" s="48"/>
      <c r="B77" s="15"/>
      <c r="C77" s="20"/>
      <c r="D77" s="20"/>
    </row>
    <row r="78" spans="1:4" ht="20.399999999999999" x14ac:dyDescent="0.3">
      <c r="A78" s="48"/>
      <c r="B78" s="15"/>
      <c r="C78" s="20"/>
      <c r="D78" s="20"/>
    </row>
    <row r="79" spans="1:4" ht="20.399999999999999" x14ac:dyDescent="0.3">
      <c r="A79" s="48"/>
      <c r="B79" s="15"/>
      <c r="C79" s="20"/>
      <c r="D79" s="20"/>
    </row>
    <row r="80" spans="1:4" ht="20.399999999999999" x14ac:dyDescent="0.3">
      <c r="A80" s="48"/>
      <c r="B80" s="15"/>
      <c r="C80" s="20"/>
      <c r="D80" s="20"/>
    </row>
    <row r="81" spans="1:4" ht="20.399999999999999" x14ac:dyDescent="0.3">
      <c r="A81" s="48"/>
      <c r="B81" s="15"/>
      <c r="C81" s="20"/>
      <c r="D81" s="20"/>
    </row>
    <row r="82" spans="1:4" ht="20.399999999999999" x14ac:dyDescent="0.3">
      <c r="A82" s="48"/>
      <c r="B82" s="15"/>
      <c r="C82" s="20"/>
      <c r="D82" s="20"/>
    </row>
    <row r="83" spans="1:4" ht="20.399999999999999" x14ac:dyDescent="0.3">
      <c r="A83" s="48"/>
      <c r="B83" s="15"/>
      <c r="C83" s="20"/>
      <c r="D83" s="20"/>
    </row>
    <row r="84" spans="1:4" ht="20.399999999999999" x14ac:dyDescent="0.3">
      <c r="A84" s="48"/>
      <c r="B84" s="15"/>
      <c r="C84" s="20"/>
      <c r="D84" s="20"/>
    </row>
    <row r="85" spans="1:4" ht="20.399999999999999" x14ac:dyDescent="0.3">
      <c r="A85" s="48"/>
      <c r="B85" s="15"/>
      <c r="C85" s="20"/>
      <c r="D85" s="20"/>
    </row>
    <row r="86" spans="1:4" ht="20.399999999999999" x14ac:dyDescent="0.3">
      <c r="A86" s="48"/>
      <c r="B86" s="15"/>
      <c r="C86" s="20"/>
      <c r="D86" s="20"/>
    </row>
    <row r="87" spans="1:4" ht="20.399999999999999" x14ac:dyDescent="0.3">
      <c r="A87" s="48"/>
      <c r="B87" s="15"/>
      <c r="C87" s="20"/>
      <c r="D87" s="20"/>
    </row>
    <row r="88" spans="1:4" ht="20.399999999999999" x14ac:dyDescent="0.3">
      <c r="A88" s="48"/>
      <c r="B88" s="15"/>
      <c r="C88" s="20"/>
      <c r="D88" s="20"/>
    </row>
    <row r="89" spans="1:4" ht="20.399999999999999" x14ac:dyDescent="0.3">
      <c r="A89" s="48"/>
      <c r="B89" s="15"/>
      <c r="C89" s="20"/>
      <c r="D89" s="20"/>
    </row>
    <row r="90" spans="1:4" ht="20.399999999999999" x14ac:dyDescent="0.3">
      <c r="A90" s="48"/>
      <c r="B90" s="15"/>
      <c r="C90" s="20"/>
      <c r="D90" s="20"/>
    </row>
    <row r="91" spans="1:4" ht="20.399999999999999" x14ac:dyDescent="0.3">
      <c r="A91" s="48"/>
      <c r="B91" s="15"/>
      <c r="C91" s="20"/>
      <c r="D91" s="20"/>
    </row>
    <row r="92" spans="1:4" ht="20.399999999999999" x14ac:dyDescent="0.3">
      <c r="A92" s="48"/>
      <c r="B92" s="15"/>
      <c r="C92" s="20"/>
      <c r="D92" s="20"/>
    </row>
    <row r="93" spans="1:4" ht="20.399999999999999" x14ac:dyDescent="0.3">
      <c r="A93" s="48"/>
      <c r="B93" s="15"/>
      <c r="C93" s="20"/>
      <c r="D93" s="20"/>
    </row>
    <row r="94" spans="1:4" ht="20.399999999999999" x14ac:dyDescent="0.3">
      <c r="A94" s="48"/>
      <c r="B94" s="15"/>
      <c r="C94" s="20"/>
      <c r="D94" s="20"/>
    </row>
    <row r="95" spans="1:4" ht="20.399999999999999" x14ac:dyDescent="0.3">
      <c r="A95" s="48"/>
      <c r="B95" s="15"/>
      <c r="C95" s="20"/>
      <c r="D95" s="20"/>
    </row>
    <row r="96" spans="1:4" ht="20.399999999999999" x14ac:dyDescent="0.3">
      <c r="A96" s="48"/>
      <c r="B96" s="15"/>
      <c r="C96" s="20"/>
      <c r="D96" s="20"/>
    </row>
    <row r="97" spans="1:4" ht="20.399999999999999" x14ac:dyDescent="0.3">
      <c r="A97" s="48"/>
      <c r="B97" s="15"/>
      <c r="C97" s="20"/>
      <c r="D97" s="20"/>
    </row>
    <row r="98" spans="1:4" ht="20.399999999999999" x14ac:dyDescent="0.3">
      <c r="A98" s="48"/>
      <c r="B98" s="15"/>
      <c r="C98" s="20"/>
      <c r="D98" s="20"/>
    </row>
    <row r="99" spans="1:4" ht="20.399999999999999" x14ac:dyDescent="0.3">
      <c r="A99" s="48"/>
      <c r="B99" s="15"/>
      <c r="C99" s="20"/>
      <c r="D99" s="20"/>
    </row>
    <row r="100" spans="1:4" ht="20.399999999999999" x14ac:dyDescent="0.3">
      <c r="A100" s="48"/>
      <c r="B100" s="15"/>
      <c r="C100" s="20"/>
      <c r="D100" s="20"/>
    </row>
    <row r="101" spans="1:4" ht="20.399999999999999" x14ac:dyDescent="0.3">
      <c r="A101" s="48"/>
      <c r="B101" s="15"/>
      <c r="C101" s="20"/>
      <c r="D101" s="20"/>
    </row>
    <row r="102" spans="1:4" ht="20.399999999999999" x14ac:dyDescent="0.3">
      <c r="A102" s="48"/>
      <c r="B102" s="15"/>
      <c r="C102" s="20"/>
      <c r="D102" s="20"/>
    </row>
    <row r="103" spans="1:4" ht="20.399999999999999" x14ac:dyDescent="0.3">
      <c r="A103" s="48"/>
      <c r="B103" s="15"/>
      <c r="C103" s="20"/>
      <c r="D103" s="20"/>
    </row>
    <row r="104" spans="1:4" ht="20.399999999999999" x14ac:dyDescent="0.3">
      <c r="A104" s="48"/>
      <c r="B104" s="15"/>
      <c r="C104" s="20"/>
      <c r="D104" s="20"/>
    </row>
    <row r="105" spans="1:4" ht="20.399999999999999" x14ac:dyDescent="0.3">
      <c r="A105" s="48"/>
      <c r="B105" s="15"/>
      <c r="C105" s="20"/>
      <c r="D105" s="20"/>
    </row>
    <row r="106" spans="1:4" ht="20.399999999999999" x14ac:dyDescent="0.3">
      <c r="A106" s="48"/>
      <c r="B106" s="15"/>
      <c r="C106" s="20"/>
      <c r="D106" s="20"/>
    </row>
    <row r="107" spans="1:4" ht="20.399999999999999" x14ac:dyDescent="0.3">
      <c r="A107" s="48"/>
      <c r="B107" s="15"/>
      <c r="C107" s="20"/>
      <c r="D107" s="20"/>
    </row>
    <row r="108" spans="1:4" ht="20.399999999999999" x14ac:dyDescent="0.3">
      <c r="A108" s="48"/>
      <c r="B108" s="15"/>
      <c r="C108" s="20"/>
      <c r="D108" s="20"/>
    </row>
    <row r="109" spans="1:4" ht="20.399999999999999" x14ac:dyDescent="0.3">
      <c r="A109" s="48"/>
      <c r="B109" s="15"/>
      <c r="C109" s="20"/>
      <c r="D109" s="20"/>
    </row>
    <row r="110" spans="1:4" ht="20.399999999999999" x14ac:dyDescent="0.3">
      <c r="A110" s="48"/>
      <c r="B110" s="15"/>
      <c r="C110" s="20"/>
      <c r="D110" s="20"/>
    </row>
    <row r="111" spans="1:4" ht="20.399999999999999" x14ac:dyDescent="0.3">
      <c r="A111" s="48"/>
      <c r="B111" s="15"/>
      <c r="C111" s="20"/>
      <c r="D111" s="20"/>
    </row>
    <row r="112" spans="1:4" ht="20.399999999999999" x14ac:dyDescent="0.3">
      <c r="A112" s="48"/>
      <c r="B112" s="15"/>
      <c r="C112" s="20"/>
      <c r="D112" s="20"/>
    </row>
    <row r="113" spans="1:4" ht="20.399999999999999" x14ac:dyDescent="0.3">
      <c r="A113" s="48"/>
      <c r="B113" s="15"/>
      <c r="C113" s="20"/>
      <c r="D113" s="20"/>
    </row>
    <row r="114" spans="1:4" ht="20.399999999999999" x14ac:dyDescent="0.3">
      <c r="A114" s="48"/>
      <c r="B114" s="15"/>
      <c r="C114" s="20"/>
      <c r="D114" s="20"/>
    </row>
    <row r="115" spans="1:4" ht="20.399999999999999" x14ac:dyDescent="0.3">
      <c r="A115" s="48"/>
      <c r="B115" s="15"/>
      <c r="C115" s="20"/>
      <c r="D115" s="20"/>
    </row>
    <row r="116" spans="1:4" ht="20.399999999999999" x14ac:dyDescent="0.3">
      <c r="A116" s="48"/>
      <c r="B116" s="15"/>
      <c r="C116" s="20"/>
      <c r="D116" s="20"/>
    </row>
    <row r="117" spans="1:4" ht="20.399999999999999" x14ac:dyDescent="0.3">
      <c r="A117" s="48"/>
      <c r="B117" s="15"/>
      <c r="C117" s="20"/>
      <c r="D117" s="20"/>
    </row>
    <row r="118" spans="1:4" ht="20.399999999999999" x14ac:dyDescent="0.3">
      <c r="A118" s="48"/>
      <c r="B118" s="15"/>
      <c r="C118" s="20"/>
      <c r="D118" s="20"/>
    </row>
    <row r="119" spans="1:4" ht="20.399999999999999" x14ac:dyDescent="0.3">
      <c r="A119" s="48"/>
      <c r="B119" s="15"/>
      <c r="C119" s="20"/>
      <c r="D119" s="20"/>
    </row>
    <row r="120" spans="1:4" ht="20.399999999999999" x14ac:dyDescent="0.3">
      <c r="A120" s="48"/>
      <c r="B120" s="15"/>
      <c r="C120" s="20"/>
      <c r="D120" s="20"/>
    </row>
    <row r="121" spans="1:4" ht="20.399999999999999" x14ac:dyDescent="0.3">
      <c r="A121" s="48"/>
      <c r="B121" s="15"/>
      <c r="C121" s="20"/>
      <c r="D121" s="20"/>
    </row>
    <row r="122" spans="1:4" ht="20.399999999999999" x14ac:dyDescent="0.3">
      <c r="A122" s="48"/>
      <c r="B122" s="15"/>
      <c r="C122" s="20"/>
      <c r="D122" s="20"/>
    </row>
    <row r="123" spans="1:4" ht="20.399999999999999" x14ac:dyDescent="0.3">
      <c r="A123" s="48"/>
      <c r="B123" s="15"/>
      <c r="C123" s="20"/>
      <c r="D123" s="20"/>
    </row>
    <row r="124" spans="1:4" ht="20.399999999999999" x14ac:dyDescent="0.3">
      <c r="A124" s="48"/>
      <c r="B124" s="15"/>
      <c r="C124" s="20"/>
      <c r="D124" s="20"/>
    </row>
    <row r="125" spans="1:4" ht="20.399999999999999" x14ac:dyDescent="0.3">
      <c r="A125" s="48"/>
      <c r="B125" s="15"/>
      <c r="C125" s="20"/>
      <c r="D125" s="20"/>
    </row>
    <row r="126" spans="1:4" ht="20.399999999999999" x14ac:dyDescent="0.3">
      <c r="A126" s="48"/>
      <c r="B126" s="15"/>
      <c r="C126" s="20"/>
      <c r="D126" s="20"/>
    </row>
    <row r="127" spans="1:4" ht="20.399999999999999" x14ac:dyDescent="0.3">
      <c r="A127" s="48"/>
      <c r="B127" s="15"/>
      <c r="C127" s="20"/>
      <c r="D127" s="20"/>
    </row>
    <row r="128" spans="1:4" ht="20.399999999999999" x14ac:dyDescent="0.3">
      <c r="A128" s="48"/>
      <c r="B128" s="15"/>
      <c r="C128" s="20"/>
      <c r="D128" s="20"/>
    </row>
    <row r="129" spans="1:4" ht="20.399999999999999" x14ac:dyDescent="0.3">
      <c r="A129" s="48"/>
      <c r="B129" s="15"/>
      <c r="C129" s="20"/>
      <c r="D129" s="20"/>
    </row>
    <row r="130" spans="1:4" ht="20.399999999999999" x14ac:dyDescent="0.3">
      <c r="A130" s="48"/>
      <c r="B130" s="15"/>
      <c r="C130" s="20"/>
      <c r="D130" s="20"/>
    </row>
    <row r="131" spans="1:4" ht="20.399999999999999" x14ac:dyDescent="0.3">
      <c r="A131" s="48"/>
      <c r="B131" s="15"/>
      <c r="C131" s="20"/>
      <c r="D131" s="20"/>
    </row>
    <row r="132" spans="1:4" ht="20.399999999999999" x14ac:dyDescent="0.3">
      <c r="A132" s="48"/>
      <c r="B132" s="15"/>
      <c r="C132" s="20"/>
      <c r="D132" s="20"/>
    </row>
    <row r="133" spans="1:4" ht="20.399999999999999" x14ac:dyDescent="0.3">
      <c r="A133" s="48"/>
      <c r="B133" s="15"/>
      <c r="C133" s="20"/>
      <c r="D133" s="20"/>
    </row>
    <row r="134" spans="1:4" ht="20.399999999999999" x14ac:dyDescent="0.3">
      <c r="A134" s="48"/>
      <c r="B134" s="15"/>
      <c r="C134" s="20"/>
      <c r="D134" s="20"/>
    </row>
    <row r="135" spans="1:4" ht="20.399999999999999" x14ac:dyDescent="0.3">
      <c r="A135" s="48"/>
      <c r="B135" s="15"/>
      <c r="C135" s="20"/>
      <c r="D135" s="20"/>
    </row>
    <row r="136" spans="1:4" ht="20.399999999999999" x14ac:dyDescent="0.3">
      <c r="A136" s="48"/>
      <c r="B136" s="15"/>
      <c r="C136" s="20"/>
      <c r="D136" s="20"/>
    </row>
    <row r="137" spans="1:4" ht="20.399999999999999" x14ac:dyDescent="0.3">
      <c r="A137" s="48"/>
      <c r="B137" s="15"/>
      <c r="C137" s="20"/>
      <c r="D137" s="20"/>
    </row>
    <row r="138" spans="1:4" ht="20.399999999999999" x14ac:dyDescent="0.3">
      <c r="A138" s="48"/>
      <c r="B138" s="15"/>
      <c r="C138" s="20"/>
      <c r="D138" s="20"/>
    </row>
    <row r="139" spans="1:4" ht="20.399999999999999" x14ac:dyDescent="0.3">
      <c r="A139" s="48"/>
      <c r="B139" s="15"/>
      <c r="C139" s="20"/>
      <c r="D139" s="20"/>
    </row>
    <row r="140" spans="1:4" ht="20.399999999999999" x14ac:dyDescent="0.3">
      <c r="A140" s="48"/>
      <c r="B140" s="15"/>
      <c r="C140" s="20"/>
      <c r="D140" s="20"/>
    </row>
    <row r="141" spans="1:4" ht="20.399999999999999" x14ac:dyDescent="0.3">
      <c r="A141" s="48"/>
      <c r="B141" s="15"/>
      <c r="C141" s="20"/>
      <c r="D141" s="20"/>
    </row>
    <row r="142" spans="1:4" ht="20.399999999999999" x14ac:dyDescent="0.3">
      <c r="A142" s="48"/>
      <c r="B142" s="15"/>
      <c r="C142" s="20"/>
      <c r="D142" s="20"/>
    </row>
    <row r="143" spans="1:4" ht="20.399999999999999" x14ac:dyDescent="0.3">
      <c r="A143" s="48"/>
      <c r="B143" s="15"/>
      <c r="C143" s="20"/>
      <c r="D143" s="20"/>
    </row>
    <row r="144" spans="1:4" ht="20.399999999999999" x14ac:dyDescent="0.3">
      <c r="A144" s="48"/>
      <c r="B144" s="15"/>
      <c r="C144" s="20"/>
      <c r="D144" s="20"/>
    </row>
    <row r="145" spans="1:4" ht="20.399999999999999" x14ac:dyDescent="0.3">
      <c r="A145" s="48"/>
      <c r="B145" s="15"/>
      <c r="C145" s="20"/>
      <c r="D145" s="20"/>
    </row>
    <row r="146" spans="1:4" ht="20.399999999999999" x14ac:dyDescent="0.3">
      <c r="A146" s="48"/>
      <c r="B146" s="15"/>
      <c r="C146" s="20"/>
      <c r="D146" s="20"/>
    </row>
    <row r="147" spans="1:4" ht="20.399999999999999" x14ac:dyDescent="0.3">
      <c r="A147" s="48"/>
      <c r="B147" s="15"/>
      <c r="C147" s="20"/>
      <c r="D147" s="20"/>
    </row>
    <row r="148" spans="1:4" ht="20.399999999999999" x14ac:dyDescent="0.3">
      <c r="A148" s="48"/>
      <c r="B148" s="15"/>
      <c r="C148" s="20"/>
      <c r="D148" s="20"/>
    </row>
    <row r="149" spans="1:4" ht="20.399999999999999" x14ac:dyDescent="0.3">
      <c r="A149" s="48"/>
      <c r="B149" s="15"/>
      <c r="C149" s="20"/>
      <c r="D149" s="20"/>
    </row>
    <row r="150" spans="1:4" ht="20.399999999999999" x14ac:dyDescent="0.3">
      <c r="A150" s="48"/>
      <c r="B150" s="15"/>
      <c r="C150" s="20"/>
      <c r="D150" s="20"/>
    </row>
    <row r="151" spans="1:4" ht="20.399999999999999" x14ac:dyDescent="0.3">
      <c r="A151" s="48"/>
      <c r="B151" s="15"/>
      <c r="C151" s="20"/>
      <c r="D151" s="20"/>
    </row>
    <row r="152" spans="1:4" ht="20.399999999999999" x14ac:dyDescent="0.3">
      <c r="A152" s="48"/>
      <c r="B152" s="15"/>
      <c r="C152" s="20"/>
      <c r="D152" s="20"/>
    </row>
    <row r="153" spans="1:4" ht="20.399999999999999" x14ac:dyDescent="0.3">
      <c r="A153" s="48"/>
      <c r="B153" s="15"/>
      <c r="C153" s="20"/>
      <c r="D153" s="20"/>
    </row>
    <row r="154" spans="1:4" ht="20.399999999999999" x14ac:dyDescent="0.3">
      <c r="A154" s="48"/>
      <c r="B154" s="15"/>
      <c r="C154" s="20"/>
      <c r="D154" s="20"/>
    </row>
    <row r="155" spans="1:4" ht="20.399999999999999" x14ac:dyDescent="0.3">
      <c r="A155" s="48"/>
      <c r="B155" s="15"/>
      <c r="C155" s="20"/>
      <c r="D155" s="20"/>
    </row>
    <row r="156" spans="1:4" ht="20.399999999999999" x14ac:dyDescent="0.3">
      <c r="A156" s="48"/>
      <c r="B156" s="15"/>
      <c r="C156" s="20"/>
      <c r="D156" s="20"/>
    </row>
    <row r="157" spans="1:4" ht="20.399999999999999" x14ac:dyDescent="0.3">
      <c r="A157" s="48"/>
      <c r="B157" s="15"/>
      <c r="C157" s="20"/>
      <c r="D157" s="20"/>
    </row>
    <row r="158" spans="1:4" ht="20.399999999999999" x14ac:dyDescent="0.3">
      <c r="A158" s="48"/>
      <c r="B158" s="15"/>
      <c r="C158" s="20"/>
      <c r="D158" s="20"/>
    </row>
    <row r="159" spans="1:4" ht="20.399999999999999" x14ac:dyDescent="0.3">
      <c r="A159" s="48"/>
      <c r="B159" s="15"/>
      <c r="C159" s="20"/>
      <c r="D159" s="20"/>
    </row>
    <row r="160" spans="1:4" ht="20.399999999999999" x14ac:dyDescent="0.3">
      <c r="A160" s="48"/>
      <c r="B160" s="15"/>
      <c r="C160" s="20"/>
      <c r="D160" s="20"/>
    </row>
    <row r="161" spans="1:4" ht="20.399999999999999" x14ac:dyDescent="0.3">
      <c r="A161" s="48"/>
      <c r="B161" s="15"/>
      <c r="C161" s="20"/>
      <c r="D161" s="20"/>
    </row>
    <row r="162" spans="1:4" ht="20.399999999999999" x14ac:dyDescent="0.3">
      <c r="A162" s="48"/>
      <c r="B162" s="15"/>
      <c r="C162" s="20"/>
      <c r="D162" s="20"/>
    </row>
    <row r="163" spans="1:4" ht="20.399999999999999" x14ac:dyDescent="0.3">
      <c r="A163" s="48"/>
      <c r="B163" s="15"/>
      <c r="C163" s="20"/>
      <c r="D163" s="20"/>
    </row>
    <row r="164" spans="1:4" ht="20.399999999999999" x14ac:dyDescent="0.3">
      <c r="A164" s="48"/>
      <c r="B164" s="15"/>
      <c r="C164" s="20"/>
      <c r="D164" s="20"/>
    </row>
    <row r="165" spans="1:4" ht="20.399999999999999" x14ac:dyDescent="0.3">
      <c r="A165" s="48"/>
      <c r="B165" s="15"/>
      <c r="C165" s="20"/>
      <c r="D165" s="20"/>
    </row>
    <row r="166" spans="1:4" ht="20.399999999999999" x14ac:dyDescent="0.3">
      <c r="A166" s="48"/>
      <c r="B166" s="15"/>
      <c r="C166" s="20"/>
      <c r="D166" s="20"/>
    </row>
    <row r="167" spans="1:4" ht="20.399999999999999" x14ac:dyDescent="0.3">
      <c r="A167" s="48"/>
      <c r="B167" s="15"/>
      <c r="C167" s="20"/>
      <c r="D167" s="20"/>
    </row>
    <row r="168" spans="1:4" ht="20.399999999999999" x14ac:dyDescent="0.3">
      <c r="A168" s="48"/>
      <c r="B168" s="15"/>
      <c r="C168" s="20"/>
      <c r="D168" s="20"/>
    </row>
    <row r="169" spans="1:4" ht="20.399999999999999" x14ac:dyDescent="0.3">
      <c r="A169" s="48"/>
      <c r="B169" s="15"/>
      <c r="C169" s="20"/>
      <c r="D169" s="20"/>
    </row>
    <row r="170" spans="1:4" ht="20.399999999999999" x14ac:dyDescent="0.3">
      <c r="A170" s="48"/>
      <c r="B170" s="15"/>
      <c r="C170" s="20"/>
      <c r="D170" s="20"/>
    </row>
    <row r="171" spans="1:4" ht="20.399999999999999" x14ac:dyDescent="0.3">
      <c r="A171" s="48"/>
      <c r="B171" s="15"/>
      <c r="C171" s="20"/>
      <c r="D171" s="20"/>
    </row>
    <row r="172" spans="1:4" ht="20.399999999999999" x14ac:dyDescent="0.3">
      <c r="A172" s="48"/>
      <c r="B172" s="15"/>
      <c r="C172" s="20"/>
      <c r="D172" s="20"/>
    </row>
    <row r="173" spans="1:4" ht="20.399999999999999" x14ac:dyDescent="0.3">
      <c r="A173" s="48"/>
      <c r="B173" s="15"/>
      <c r="C173" s="20"/>
      <c r="D173" s="20"/>
    </row>
    <row r="174" spans="1:4" ht="20.399999999999999" x14ac:dyDescent="0.3">
      <c r="A174" s="48"/>
      <c r="B174" s="15"/>
      <c r="C174" s="20"/>
      <c r="D174" s="20"/>
    </row>
    <row r="175" spans="1:4" ht="20.399999999999999" x14ac:dyDescent="0.3">
      <c r="A175" s="48"/>
      <c r="B175" s="15"/>
      <c r="C175" s="20"/>
      <c r="D175" s="20"/>
    </row>
    <row r="176" spans="1:4" ht="20.399999999999999" x14ac:dyDescent="0.3">
      <c r="A176" s="48"/>
      <c r="B176" s="15"/>
      <c r="C176" s="20"/>
      <c r="D176" s="20"/>
    </row>
    <row r="177" spans="1:4" ht="20.399999999999999" x14ac:dyDescent="0.3">
      <c r="A177" s="48"/>
      <c r="B177" s="15"/>
      <c r="C177" s="20"/>
      <c r="D177" s="20"/>
    </row>
    <row r="178" spans="1:4" ht="20.399999999999999" x14ac:dyDescent="0.3">
      <c r="A178" s="48"/>
      <c r="B178" s="15"/>
      <c r="C178" s="20"/>
      <c r="D178" s="20"/>
    </row>
    <row r="179" spans="1:4" ht="20.399999999999999" x14ac:dyDescent="0.3">
      <c r="A179" s="48"/>
      <c r="B179" s="15"/>
      <c r="C179" s="20"/>
      <c r="D179" s="20"/>
    </row>
    <row r="180" spans="1:4" ht="20.399999999999999" x14ac:dyDescent="0.3">
      <c r="A180" s="48"/>
      <c r="B180" s="15"/>
      <c r="C180" s="20"/>
      <c r="D180" s="20"/>
    </row>
    <row r="181" spans="1:4" ht="20.399999999999999" x14ac:dyDescent="0.3">
      <c r="A181" s="48"/>
      <c r="B181" s="15"/>
      <c r="C181" s="20"/>
      <c r="D181" s="20"/>
    </row>
    <row r="182" spans="1:4" ht="20.399999999999999" x14ac:dyDescent="0.3">
      <c r="A182" s="48"/>
      <c r="B182" s="15"/>
      <c r="C182" s="20"/>
      <c r="D182" s="20"/>
    </row>
    <row r="183" spans="1:4" ht="20.399999999999999" x14ac:dyDescent="0.3">
      <c r="A183" s="48"/>
      <c r="B183" s="15"/>
      <c r="C183" s="20"/>
      <c r="D183" s="20"/>
    </row>
    <row r="184" spans="1:4" ht="20.399999999999999" x14ac:dyDescent="0.3">
      <c r="A184" s="48"/>
      <c r="B184" s="15"/>
      <c r="C184" s="20"/>
      <c r="D184" s="20"/>
    </row>
    <row r="185" spans="1:4" ht="20.399999999999999" x14ac:dyDescent="0.3">
      <c r="A185" s="48"/>
      <c r="B185" s="15"/>
      <c r="C185" s="20"/>
      <c r="D185" s="20"/>
    </row>
    <row r="186" spans="1:4" ht="20.399999999999999" x14ac:dyDescent="0.3">
      <c r="A186" s="48"/>
      <c r="B186" s="15"/>
      <c r="C186" s="20"/>
      <c r="D186" s="20"/>
    </row>
    <row r="187" spans="1:4" ht="20.399999999999999" x14ac:dyDescent="0.3">
      <c r="A187" s="48"/>
      <c r="B187" s="15"/>
      <c r="C187" s="20"/>
      <c r="D187" s="20"/>
    </row>
    <row r="188" spans="1:4" ht="20.399999999999999" x14ac:dyDescent="0.3">
      <c r="A188" s="48"/>
      <c r="B188" s="15"/>
      <c r="C188" s="20"/>
      <c r="D188" s="20"/>
    </row>
    <row r="189" spans="1:4" ht="20.399999999999999" x14ac:dyDescent="0.3">
      <c r="A189" s="48"/>
      <c r="B189" s="15"/>
      <c r="C189" s="20"/>
      <c r="D189" s="20"/>
    </row>
    <row r="190" spans="1:4" ht="20.399999999999999" x14ac:dyDescent="0.3">
      <c r="A190" s="48"/>
      <c r="B190" s="15"/>
      <c r="C190" s="20"/>
      <c r="D190" s="20"/>
    </row>
    <row r="191" spans="1:4" ht="20.399999999999999" x14ac:dyDescent="0.3">
      <c r="A191" s="48"/>
      <c r="B191" s="15"/>
      <c r="C191" s="20"/>
      <c r="D191" s="20"/>
    </row>
    <row r="192" spans="1:4" ht="20.399999999999999" x14ac:dyDescent="0.3">
      <c r="A192" s="48"/>
      <c r="B192" s="15"/>
      <c r="C192" s="20"/>
      <c r="D192" s="20"/>
    </row>
    <row r="193" spans="1:4" ht="20.399999999999999" x14ac:dyDescent="0.3">
      <c r="A193" s="48"/>
      <c r="B193" s="15"/>
      <c r="C193" s="20"/>
      <c r="D193" s="20"/>
    </row>
    <row r="194" spans="1:4" ht="20.399999999999999" x14ac:dyDescent="0.3">
      <c r="A194" s="48"/>
      <c r="B194" s="15"/>
      <c r="C194" s="20"/>
      <c r="D194" s="20"/>
    </row>
    <row r="195" spans="1:4" ht="20.399999999999999" x14ac:dyDescent="0.3">
      <c r="A195" s="48"/>
      <c r="B195" s="15"/>
      <c r="C195" s="20"/>
      <c r="D195" s="20"/>
    </row>
    <row r="196" spans="1:4" ht="20.399999999999999" x14ac:dyDescent="0.3">
      <c r="A196" s="48"/>
      <c r="B196" s="15"/>
      <c r="C196" s="20"/>
      <c r="D196" s="20"/>
    </row>
    <row r="197" spans="1:4" ht="20.399999999999999" x14ac:dyDescent="0.3">
      <c r="A197" s="48"/>
      <c r="B197" s="15"/>
      <c r="C197" s="20"/>
      <c r="D197" s="20"/>
    </row>
    <row r="198" spans="1:4" ht="20.399999999999999" x14ac:dyDescent="0.3">
      <c r="A198" s="48"/>
      <c r="B198" s="15"/>
      <c r="C198" s="20"/>
      <c r="D198" s="20"/>
    </row>
    <row r="199" spans="1:4" ht="20.399999999999999" x14ac:dyDescent="0.3">
      <c r="A199" s="48"/>
      <c r="B199" s="15"/>
      <c r="C199" s="20"/>
      <c r="D199" s="20"/>
    </row>
    <row r="200" spans="1:4" ht="20.399999999999999" x14ac:dyDescent="0.3">
      <c r="A200" s="48"/>
      <c r="B200" s="15"/>
      <c r="C200" s="20"/>
      <c r="D200" s="20"/>
    </row>
    <row r="201" spans="1:4" ht="20.399999999999999" x14ac:dyDescent="0.3">
      <c r="A201" s="48"/>
      <c r="B201" s="15"/>
      <c r="C201" s="20"/>
      <c r="D201" s="20"/>
    </row>
    <row r="202" spans="1:4" ht="20.399999999999999" x14ac:dyDescent="0.3">
      <c r="A202" s="48"/>
      <c r="B202" s="15"/>
      <c r="C202" s="20"/>
      <c r="D202" s="20"/>
    </row>
    <row r="203" spans="1:4" ht="20.399999999999999" x14ac:dyDescent="0.3">
      <c r="A203" s="48"/>
      <c r="B203" s="15"/>
      <c r="C203" s="20"/>
      <c r="D203" s="20"/>
    </row>
    <row r="204" spans="1:4" ht="20.399999999999999" x14ac:dyDescent="0.3">
      <c r="A204" s="48"/>
      <c r="B204" s="15"/>
      <c r="C204" s="20"/>
      <c r="D204" s="20"/>
    </row>
    <row r="205" spans="1:4" ht="20.399999999999999" x14ac:dyDescent="0.3">
      <c r="A205" s="48"/>
      <c r="B205" s="15"/>
      <c r="C205" s="20"/>
      <c r="D205" s="20"/>
    </row>
    <row r="206" spans="1:4" ht="20.399999999999999" x14ac:dyDescent="0.3">
      <c r="A206" s="48"/>
      <c r="B206" s="15"/>
      <c r="C206" s="20"/>
      <c r="D206" s="20"/>
    </row>
    <row r="207" spans="1:4" ht="20.399999999999999" x14ac:dyDescent="0.3">
      <c r="A207" s="48"/>
      <c r="B207" s="15"/>
      <c r="C207" s="20"/>
      <c r="D207" s="20"/>
    </row>
    <row r="208" spans="1:4" x14ac:dyDescent="0.3">
      <c r="A208" s="31"/>
      <c r="B208" s="15"/>
      <c r="C208" s="15"/>
      <c r="D208" s="15"/>
    </row>
    <row r="209" spans="1:19" ht="46.2" x14ac:dyDescent="0.85">
      <c r="A209" s="31"/>
      <c r="B209" s="16" t="s">
        <v>62</v>
      </c>
      <c r="C209" s="16" t="s">
        <v>109</v>
      </c>
      <c r="D209" s="19" t="s">
        <v>62</v>
      </c>
      <c r="E209" s="54" t="s">
        <v>109</v>
      </c>
      <c r="F209" s="55"/>
      <c r="G209" s="55"/>
      <c r="H209" s="55"/>
      <c r="I209" s="55"/>
      <c r="J209" s="55"/>
      <c r="K209" s="55"/>
      <c r="L209" s="55"/>
      <c r="M209" s="55"/>
      <c r="N209" s="55"/>
      <c r="O209" s="55"/>
      <c r="P209" s="55"/>
      <c r="Q209" s="55"/>
      <c r="R209" s="55"/>
      <c r="S209" s="55"/>
    </row>
    <row r="210" spans="1:19" ht="46.2" x14ac:dyDescent="0.85">
      <c r="A210" s="31"/>
      <c r="B210" s="17" t="s">
        <v>64</v>
      </c>
      <c r="C210" s="17" t="s">
        <v>33</v>
      </c>
      <c r="D210" t="s">
        <v>64</v>
      </c>
      <c r="E210" s="55"/>
      <c r="F210" s="55" t="str">
        <f>IF(NOT(ISBLANK(D210)),D210,IF(NOT(ISBLANK(E210)),"     "&amp;E210,FALSE))</f>
        <v>Afectación Económica o presupuestal</v>
      </c>
      <c r="G210" s="55" t="s">
        <v>64</v>
      </c>
      <c r="H210" s="55" t="str">
        <f ca="1">IF(NOT(ISERROR(MATCH(G210,_xlfn.ANCHORARRAY(B221),0))),F223&amp;"Por favor no seleccionar los criterios de impacto",G210)</f>
        <v>Afectación Económica o presupuestal</v>
      </c>
      <c r="I210" s="55"/>
      <c r="J210" s="55"/>
      <c r="K210" s="55"/>
      <c r="L210" s="55"/>
      <c r="M210" s="55"/>
      <c r="N210" s="55"/>
      <c r="O210" s="55"/>
      <c r="P210" s="55"/>
      <c r="Q210" s="55"/>
      <c r="R210" s="55"/>
      <c r="S210" s="55"/>
    </row>
    <row r="211" spans="1:19" ht="46.2" x14ac:dyDescent="0.85">
      <c r="A211" s="31"/>
      <c r="B211" s="17" t="s">
        <v>64</v>
      </c>
      <c r="C211" s="17" t="s">
        <v>67</v>
      </c>
      <c r="E211" s="55" t="s">
        <v>33</v>
      </c>
      <c r="F211" s="55" t="str">
        <f t="shared" ref="F211:F221" si="0">IF(NOT(ISBLANK(D211)),D211,IF(NOT(ISBLANK(E211)),"     "&amp;E211,FALSE))</f>
        <v xml:space="preserve">     Afectación menor a 10 SMLMV .</v>
      </c>
      <c r="G211" s="55"/>
      <c r="H211" s="55"/>
      <c r="I211" s="55"/>
      <c r="J211" s="55"/>
      <c r="K211" s="55"/>
      <c r="L211" s="55"/>
      <c r="M211" s="55"/>
      <c r="N211" s="55"/>
      <c r="O211" s="55"/>
      <c r="P211" s="55"/>
      <c r="Q211" s="55"/>
      <c r="R211" s="55"/>
      <c r="S211" s="55"/>
    </row>
    <row r="212" spans="1:19" ht="46.2" x14ac:dyDescent="0.85">
      <c r="A212" s="31"/>
      <c r="B212" s="17" t="s">
        <v>64</v>
      </c>
      <c r="C212" s="17" t="s">
        <v>68</v>
      </c>
      <c r="E212" s="55" t="s">
        <v>67</v>
      </c>
      <c r="F212" s="55" t="str">
        <f t="shared" si="0"/>
        <v xml:space="preserve">     Entre 10 y 50 SMLMV </v>
      </c>
      <c r="G212" s="55"/>
      <c r="H212" s="55"/>
      <c r="I212" s="55"/>
      <c r="J212" s="55"/>
      <c r="K212" s="55"/>
      <c r="L212" s="55"/>
      <c r="M212" s="55"/>
      <c r="N212" s="55"/>
      <c r="O212" s="55"/>
      <c r="P212" s="55"/>
      <c r="Q212" s="55"/>
      <c r="R212" s="55"/>
      <c r="S212" s="55"/>
    </row>
    <row r="213" spans="1:19" ht="46.2" x14ac:dyDescent="0.85">
      <c r="A213" s="31"/>
      <c r="B213" s="17" t="s">
        <v>64</v>
      </c>
      <c r="C213" s="17" t="s">
        <v>69</v>
      </c>
      <c r="E213" s="55" t="s">
        <v>68</v>
      </c>
      <c r="F213" s="55" t="str">
        <f t="shared" si="0"/>
        <v xml:space="preserve">     Entre 50 y 100 SMLMV </v>
      </c>
      <c r="G213" s="55"/>
      <c r="H213" s="55"/>
      <c r="I213" s="55"/>
      <c r="J213" s="55"/>
      <c r="K213" s="55"/>
      <c r="L213" s="55"/>
      <c r="M213" s="55"/>
      <c r="N213" s="55"/>
      <c r="O213" s="55"/>
      <c r="P213" s="55"/>
      <c r="Q213" s="55"/>
      <c r="R213" s="55"/>
      <c r="S213" s="55"/>
    </row>
    <row r="214" spans="1:19" ht="46.2" x14ac:dyDescent="0.85">
      <c r="A214" s="31"/>
      <c r="B214" s="17" t="s">
        <v>64</v>
      </c>
      <c r="C214" s="17" t="s">
        <v>70</v>
      </c>
      <c r="E214" s="55" t="s">
        <v>69</v>
      </c>
      <c r="F214" s="55" t="str">
        <f t="shared" si="0"/>
        <v xml:space="preserve">     Entre 100 y 500 SMLMV </v>
      </c>
      <c r="G214" s="55"/>
      <c r="H214" s="55"/>
      <c r="I214" s="55"/>
      <c r="J214" s="55"/>
      <c r="K214" s="55"/>
      <c r="L214" s="55"/>
      <c r="M214" s="55"/>
      <c r="N214" s="55"/>
      <c r="O214" s="55"/>
      <c r="P214" s="55"/>
      <c r="Q214" s="55"/>
      <c r="R214" s="55"/>
      <c r="S214" s="55"/>
    </row>
    <row r="215" spans="1:19" ht="46.2" x14ac:dyDescent="0.85">
      <c r="A215" s="31"/>
      <c r="B215" s="17" t="s">
        <v>32</v>
      </c>
      <c r="C215" s="17" t="s">
        <v>71</v>
      </c>
      <c r="E215" s="55" t="s">
        <v>70</v>
      </c>
      <c r="F215" s="55" t="str">
        <f t="shared" si="0"/>
        <v xml:space="preserve">     Mayor a 500 SMLMV </v>
      </c>
      <c r="G215" s="55"/>
      <c r="H215" s="55"/>
      <c r="I215" s="55"/>
      <c r="J215" s="55"/>
      <c r="K215" s="55"/>
      <c r="L215" s="55"/>
      <c r="M215" s="55"/>
      <c r="N215" s="55"/>
      <c r="O215" s="55"/>
      <c r="P215" s="55"/>
      <c r="Q215" s="55"/>
      <c r="R215" s="55"/>
      <c r="S215" s="55"/>
    </row>
    <row r="216" spans="1:19" ht="46.2" x14ac:dyDescent="0.85">
      <c r="A216" s="31"/>
      <c r="B216" s="17" t="s">
        <v>32</v>
      </c>
      <c r="C216" s="17" t="s">
        <v>72</v>
      </c>
      <c r="D216" t="s">
        <v>32</v>
      </c>
      <c r="E216" s="55"/>
      <c r="F216" s="55" t="str">
        <f t="shared" si="0"/>
        <v>Pérdida Reputacional</v>
      </c>
      <c r="G216" s="55"/>
      <c r="H216" s="55"/>
      <c r="I216" s="55"/>
      <c r="J216" s="55"/>
      <c r="K216" s="55"/>
      <c r="L216" s="55"/>
      <c r="M216" s="55"/>
      <c r="N216" s="55"/>
      <c r="O216" s="55"/>
      <c r="P216" s="55"/>
      <c r="Q216" s="55"/>
      <c r="R216" s="55"/>
      <c r="S216" s="55"/>
    </row>
    <row r="217" spans="1:19" ht="46.2" x14ac:dyDescent="0.85">
      <c r="A217" s="31"/>
      <c r="B217" s="17" t="s">
        <v>32</v>
      </c>
      <c r="C217" s="17" t="s">
        <v>74</v>
      </c>
      <c r="E217" s="55" t="s">
        <v>71</v>
      </c>
      <c r="F217" s="55" t="str">
        <f t="shared" si="0"/>
        <v xml:space="preserve">     El riesgo afecta la imagen de alguna área de la organización</v>
      </c>
      <c r="G217" s="55"/>
      <c r="H217" s="55"/>
      <c r="I217" s="55"/>
      <c r="J217" s="55"/>
      <c r="K217" s="55"/>
      <c r="L217" s="55"/>
      <c r="M217" s="55"/>
      <c r="N217" s="55"/>
      <c r="O217" s="55"/>
      <c r="P217" s="55"/>
      <c r="Q217" s="55"/>
      <c r="R217" s="55"/>
      <c r="S217" s="55"/>
    </row>
    <row r="218" spans="1:19" ht="46.2" x14ac:dyDescent="0.85">
      <c r="A218" s="31"/>
      <c r="B218" s="17" t="s">
        <v>32</v>
      </c>
      <c r="C218" s="17" t="s">
        <v>73</v>
      </c>
      <c r="E218" s="55" t="s">
        <v>72</v>
      </c>
      <c r="F218" s="55" t="str">
        <f t="shared" si="0"/>
        <v xml:space="preserve">     El riesgo afecta la imagen de la entidad internamente, de conocimiento general, nivel interno, de junta dircetiva y accionistas y/o de provedores</v>
      </c>
      <c r="G218" s="55"/>
      <c r="H218" s="55"/>
      <c r="I218" s="55"/>
      <c r="J218" s="55"/>
      <c r="K218" s="55"/>
      <c r="L218" s="55"/>
      <c r="M218" s="55"/>
      <c r="N218" s="55"/>
      <c r="O218" s="55"/>
      <c r="P218" s="55"/>
      <c r="Q218" s="55"/>
      <c r="R218" s="55"/>
      <c r="S218" s="55"/>
    </row>
    <row r="219" spans="1:19" ht="46.2" x14ac:dyDescent="0.85">
      <c r="A219" s="31"/>
      <c r="B219" s="17" t="s">
        <v>32</v>
      </c>
      <c r="C219" s="17" t="s">
        <v>92</v>
      </c>
      <c r="E219" s="55" t="s">
        <v>74</v>
      </c>
      <c r="F219" s="55" t="str">
        <f t="shared" si="0"/>
        <v xml:space="preserve">     El riesgo afecta la imagen de la entidad con algunos usuarios de relevancia frente al logro de los objetivos</v>
      </c>
      <c r="G219" s="55"/>
      <c r="H219" s="55"/>
      <c r="I219" s="55"/>
      <c r="J219" s="55"/>
      <c r="K219" s="55"/>
      <c r="L219" s="55"/>
      <c r="M219" s="55"/>
      <c r="N219" s="55"/>
      <c r="O219" s="55"/>
      <c r="P219" s="55"/>
      <c r="Q219" s="55"/>
      <c r="R219" s="55"/>
      <c r="S219" s="55"/>
    </row>
    <row r="220" spans="1:19" ht="46.2" x14ac:dyDescent="0.85">
      <c r="A220" s="31"/>
      <c r="B220" s="18"/>
      <c r="C220" s="18"/>
      <c r="E220" s="55" t="s">
        <v>73</v>
      </c>
      <c r="F220" s="55" t="str">
        <f t="shared" si="0"/>
        <v xml:space="preserve">     El riesgo afecta la imagen de de la entidad con efecto publicitario sostenido a nivel de sector administrativo, nivel departamental o municipal</v>
      </c>
      <c r="G220" s="55"/>
      <c r="H220" s="55"/>
      <c r="I220" s="55"/>
      <c r="J220" s="55"/>
      <c r="K220" s="55"/>
      <c r="L220" s="55"/>
      <c r="M220" s="55"/>
      <c r="N220" s="55"/>
      <c r="O220" s="55"/>
      <c r="P220" s="55"/>
      <c r="Q220" s="55"/>
      <c r="R220" s="55"/>
      <c r="S220" s="55"/>
    </row>
    <row r="221" spans="1:19" ht="46.2" x14ac:dyDescent="0.85">
      <c r="A221" s="31"/>
      <c r="B221" s="18" t="e">
        <f t="array" aca="1" ref="B221:B223" ca="1">_xlfn.UNIQUE(Tabla1[[#All],[Criterios]])</f>
        <v>#NAME?</v>
      </c>
      <c r="C221" s="18"/>
      <c r="E221" s="55" t="s">
        <v>92</v>
      </c>
      <c r="F221" s="55" t="str">
        <f t="shared" si="0"/>
        <v xml:space="preserve">     El riesgo afecta la imagen de la entidad a nivel nacional, con efecto publicitarios sostenible a nivel país</v>
      </c>
      <c r="G221" s="55"/>
      <c r="H221" s="55"/>
      <c r="I221" s="55"/>
      <c r="J221" s="55"/>
      <c r="K221" s="55"/>
      <c r="L221" s="55"/>
      <c r="M221" s="55"/>
      <c r="N221" s="55"/>
      <c r="O221" s="55"/>
      <c r="P221" s="55"/>
      <c r="Q221" s="55"/>
      <c r="R221" s="55"/>
      <c r="S221" s="55"/>
    </row>
    <row r="222" spans="1:19" ht="46.2" x14ac:dyDescent="0.85">
      <c r="A222" s="31"/>
      <c r="B222" s="18" t="e">
        <f ca="1"/>
        <v>#NAME?</v>
      </c>
      <c r="C222" s="18"/>
      <c r="E222" s="55"/>
      <c r="F222" s="55"/>
      <c r="G222" s="55"/>
      <c r="H222" s="55"/>
      <c r="I222" s="55"/>
      <c r="J222" s="55"/>
      <c r="K222" s="55"/>
      <c r="L222" s="55"/>
      <c r="M222" s="55"/>
      <c r="N222" s="55"/>
      <c r="O222" s="55"/>
      <c r="P222" s="55"/>
      <c r="Q222" s="55"/>
      <c r="R222" s="55"/>
      <c r="S222" s="55"/>
    </row>
    <row r="223" spans="1:19" ht="46.2" x14ac:dyDescent="0.85">
      <c r="B223" s="18" t="e">
        <f ca="1"/>
        <v>#NAME?</v>
      </c>
      <c r="C223" s="18"/>
      <c r="E223" s="55"/>
      <c r="F223" s="56" t="s">
        <v>111</v>
      </c>
      <c r="G223" s="55"/>
      <c r="H223" s="55"/>
      <c r="I223" s="55"/>
      <c r="J223" s="55"/>
      <c r="K223" s="55"/>
      <c r="L223" s="55"/>
      <c r="M223" s="55"/>
      <c r="N223" s="55"/>
      <c r="O223" s="55"/>
      <c r="P223" s="55"/>
      <c r="Q223" s="55"/>
      <c r="R223" s="55"/>
      <c r="S223" s="55"/>
    </row>
    <row r="224" spans="1:19" ht="46.2" x14ac:dyDescent="0.85">
      <c r="B224" s="14"/>
      <c r="C224" s="14"/>
      <c r="E224" s="55"/>
      <c r="F224" s="56" t="s">
        <v>112</v>
      </c>
      <c r="G224" s="55"/>
      <c r="H224" s="55"/>
      <c r="I224" s="55"/>
      <c r="J224" s="55"/>
      <c r="K224" s="55"/>
      <c r="L224" s="55"/>
      <c r="M224" s="55"/>
      <c r="N224" s="55"/>
      <c r="O224" s="55"/>
      <c r="P224" s="55"/>
      <c r="Q224" s="55"/>
      <c r="R224" s="55"/>
      <c r="S224" s="55"/>
    </row>
    <row r="225" spans="2:19" ht="46.2" x14ac:dyDescent="0.85">
      <c r="B225" s="14"/>
      <c r="C225" s="14"/>
      <c r="E225" s="55"/>
      <c r="F225" s="55"/>
      <c r="G225" s="55"/>
      <c r="H225" s="55"/>
      <c r="I225" s="55"/>
      <c r="J225" s="55"/>
      <c r="K225" s="55"/>
      <c r="L225" s="55"/>
      <c r="M225" s="55"/>
      <c r="N225" s="55"/>
      <c r="O225" s="55"/>
      <c r="P225" s="55"/>
      <c r="Q225" s="55"/>
      <c r="R225" s="55"/>
      <c r="S225" s="55"/>
    </row>
    <row r="226" spans="2:19" ht="46.2" x14ac:dyDescent="0.85">
      <c r="B226" s="14"/>
      <c r="C226" s="14"/>
      <c r="E226" s="55"/>
      <c r="F226" s="55"/>
      <c r="G226" s="55"/>
      <c r="H226" s="55"/>
      <c r="I226" s="55"/>
      <c r="J226" s="55"/>
      <c r="K226" s="55"/>
      <c r="L226" s="55"/>
      <c r="M226" s="55"/>
      <c r="N226" s="55"/>
      <c r="O226" s="55"/>
      <c r="P226" s="55"/>
      <c r="Q226" s="55"/>
      <c r="R226" s="55"/>
      <c r="S226" s="55"/>
    </row>
    <row r="227" spans="2:19" ht="46.2" x14ac:dyDescent="0.85">
      <c r="B227" s="14"/>
      <c r="C227" s="14"/>
      <c r="D227" s="14"/>
      <c r="E227" s="55"/>
      <c r="F227" s="55"/>
      <c r="G227" s="55"/>
      <c r="H227" s="55"/>
      <c r="I227" s="55"/>
      <c r="J227" s="55"/>
      <c r="K227" s="55"/>
      <c r="L227" s="55"/>
      <c r="M227" s="55"/>
      <c r="N227" s="55"/>
      <c r="O227" s="55"/>
      <c r="P227" s="55"/>
      <c r="Q227" s="55"/>
      <c r="R227" s="55"/>
      <c r="S227" s="55"/>
    </row>
    <row r="228" spans="2:19" ht="46.2" x14ac:dyDescent="0.85">
      <c r="B228" s="14"/>
      <c r="C228" s="14"/>
      <c r="D228" s="14"/>
      <c r="E228" s="55"/>
      <c r="F228" s="55"/>
      <c r="G228" s="55"/>
      <c r="H228" s="55"/>
      <c r="I228" s="55"/>
      <c r="J228" s="55"/>
      <c r="K228" s="55"/>
      <c r="L228" s="55"/>
      <c r="M228" s="55"/>
      <c r="N228" s="55"/>
      <c r="O228" s="55"/>
      <c r="P228" s="55"/>
      <c r="Q228" s="55"/>
      <c r="R228" s="55"/>
      <c r="S228" s="55"/>
    </row>
    <row r="229" spans="2:19" ht="46.2" x14ac:dyDescent="0.85">
      <c r="B229" s="14"/>
      <c r="C229" s="14"/>
      <c r="D229" s="14"/>
      <c r="E229" s="55"/>
      <c r="F229" s="55"/>
      <c r="G229" s="55"/>
      <c r="H229" s="55"/>
      <c r="I229" s="55"/>
      <c r="J229" s="55"/>
      <c r="K229" s="55"/>
      <c r="L229" s="55"/>
      <c r="M229" s="55"/>
      <c r="N229" s="55"/>
      <c r="O229" s="55"/>
      <c r="P229" s="55"/>
      <c r="Q229" s="55"/>
      <c r="R229" s="55"/>
      <c r="S229" s="55"/>
    </row>
    <row r="230" spans="2:19" x14ac:dyDescent="0.3">
      <c r="B230" s="14"/>
      <c r="C230" s="14"/>
      <c r="D230" s="14"/>
    </row>
    <row r="231" spans="2:19" x14ac:dyDescent="0.3">
      <c r="B231" s="14"/>
      <c r="C231" s="14"/>
      <c r="D231" s="14"/>
    </row>
    <row r="232" spans="2:19" x14ac:dyDescent="0.3">
      <c r="B232" s="14"/>
      <c r="C232" s="14"/>
      <c r="D232" s="14"/>
    </row>
  </sheetData>
  <mergeCells count="1">
    <mergeCell ref="B1:D1"/>
  </mergeCells>
  <dataValidations disablePrompts="1" count="1">
    <dataValidation type="list" allowBlank="1" showInputMessage="1" showErrorMessage="1" sqref="G210" xr:uid="{00000000-0002-0000-0400-000000000000}">
      <formula1>$F$210:$F$221</formula1>
    </dataValidation>
  </dataValidations>
  <pageMargins left="0.7" right="0.7" top="0.75" bottom="0.75" header="0.3" footer="0.3"/>
  <pageSetup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sheetPr>
  <dimension ref="B1:F16"/>
  <sheetViews>
    <sheetView workbookViewId="0">
      <selection activeCell="E6" sqref="E6"/>
    </sheetView>
  </sheetViews>
  <sheetFormatPr baseColWidth="10" defaultColWidth="14.33203125" defaultRowHeight="13.8" x14ac:dyDescent="0.3"/>
  <cols>
    <col min="1" max="2" width="14.33203125" style="33"/>
    <col min="3" max="3" width="17" style="33" customWidth="1"/>
    <col min="4" max="4" width="14.33203125" style="33"/>
    <col min="5" max="5" width="46" style="33" customWidth="1"/>
    <col min="6" max="16384" width="14.33203125" style="33"/>
  </cols>
  <sheetData>
    <row r="1" spans="2:6" ht="24" customHeight="1" thickBot="1" x14ac:dyDescent="0.35">
      <c r="B1" s="349" t="s">
        <v>53</v>
      </c>
      <c r="C1" s="350"/>
      <c r="D1" s="350"/>
      <c r="E1" s="350"/>
      <c r="F1" s="351"/>
    </row>
    <row r="2" spans="2:6" ht="16.2" thickBot="1" x14ac:dyDescent="0.35">
      <c r="B2" s="34"/>
      <c r="C2" s="34"/>
      <c r="D2" s="34"/>
      <c r="E2" s="34"/>
      <c r="F2" s="34"/>
    </row>
    <row r="3" spans="2:6" ht="16.2" thickBot="1" x14ac:dyDescent="0.35">
      <c r="B3" s="353" t="s">
        <v>39</v>
      </c>
      <c r="C3" s="354"/>
      <c r="D3" s="354"/>
      <c r="E3" s="46" t="s">
        <v>40</v>
      </c>
      <c r="F3" s="47" t="s">
        <v>41</v>
      </c>
    </row>
    <row r="4" spans="2:6" ht="31.2" x14ac:dyDescent="0.3">
      <c r="B4" s="355" t="s">
        <v>42</v>
      </c>
      <c r="C4" s="357" t="s">
        <v>6</v>
      </c>
      <c r="D4" s="35" t="s">
        <v>7</v>
      </c>
      <c r="E4" s="36" t="s">
        <v>43</v>
      </c>
      <c r="F4" s="37">
        <v>0.25</v>
      </c>
    </row>
    <row r="5" spans="2:6" ht="46.8" x14ac:dyDescent="0.3">
      <c r="B5" s="356"/>
      <c r="C5" s="358"/>
      <c r="D5" s="38" t="s">
        <v>8</v>
      </c>
      <c r="E5" s="39" t="s">
        <v>44</v>
      </c>
      <c r="F5" s="40">
        <v>0.15</v>
      </c>
    </row>
    <row r="6" spans="2:6" ht="46.8" x14ac:dyDescent="0.3">
      <c r="B6" s="356"/>
      <c r="C6" s="358"/>
      <c r="D6" s="38" t="s">
        <v>9</v>
      </c>
      <c r="E6" s="39" t="s">
        <v>45</v>
      </c>
      <c r="F6" s="40">
        <v>0.1</v>
      </c>
    </row>
    <row r="7" spans="2:6" ht="62.4" x14ac:dyDescent="0.3">
      <c r="B7" s="356"/>
      <c r="C7" s="358" t="s">
        <v>10</v>
      </c>
      <c r="D7" s="38" t="s">
        <v>5</v>
      </c>
      <c r="E7" s="39" t="s">
        <v>46</v>
      </c>
      <c r="F7" s="40">
        <v>0.25</v>
      </c>
    </row>
    <row r="8" spans="2:6" ht="31.2" x14ac:dyDescent="0.3">
      <c r="B8" s="356"/>
      <c r="C8" s="358"/>
      <c r="D8" s="38" t="s">
        <v>4</v>
      </c>
      <c r="E8" s="39" t="s">
        <v>47</v>
      </c>
      <c r="F8" s="40">
        <v>0.15</v>
      </c>
    </row>
    <row r="9" spans="2:6" ht="46.8" x14ac:dyDescent="0.3">
      <c r="B9" s="356" t="s">
        <v>125</v>
      </c>
      <c r="C9" s="358" t="s">
        <v>11</v>
      </c>
      <c r="D9" s="38" t="s">
        <v>12</v>
      </c>
      <c r="E9" s="39" t="s">
        <v>48</v>
      </c>
      <c r="F9" s="41" t="s">
        <v>49</v>
      </c>
    </row>
    <row r="10" spans="2:6" ht="46.8" x14ac:dyDescent="0.3">
      <c r="B10" s="356"/>
      <c r="C10" s="358"/>
      <c r="D10" s="38" t="s">
        <v>13</v>
      </c>
      <c r="E10" s="39" t="s">
        <v>50</v>
      </c>
      <c r="F10" s="41" t="s">
        <v>49</v>
      </c>
    </row>
    <row r="11" spans="2:6" ht="46.8" x14ac:dyDescent="0.3">
      <c r="B11" s="356"/>
      <c r="C11" s="358" t="s">
        <v>14</v>
      </c>
      <c r="D11" s="38" t="s">
        <v>15</v>
      </c>
      <c r="E11" s="39" t="s">
        <v>51</v>
      </c>
      <c r="F11" s="41" t="s">
        <v>49</v>
      </c>
    </row>
    <row r="12" spans="2:6" ht="46.8" x14ac:dyDescent="0.3">
      <c r="B12" s="356"/>
      <c r="C12" s="358"/>
      <c r="D12" s="38" t="s">
        <v>16</v>
      </c>
      <c r="E12" s="39" t="s">
        <v>52</v>
      </c>
      <c r="F12" s="41" t="s">
        <v>49</v>
      </c>
    </row>
    <row r="13" spans="2:6" ht="31.2" x14ac:dyDescent="0.3">
      <c r="B13" s="356"/>
      <c r="C13" s="358" t="s">
        <v>17</v>
      </c>
      <c r="D13" s="38" t="s">
        <v>93</v>
      </c>
      <c r="E13" s="39" t="s">
        <v>96</v>
      </c>
      <c r="F13" s="41" t="s">
        <v>49</v>
      </c>
    </row>
    <row r="14" spans="2:6" ht="16.2" thickBot="1" x14ac:dyDescent="0.35">
      <c r="B14" s="359"/>
      <c r="C14" s="360"/>
      <c r="D14" s="42" t="s">
        <v>94</v>
      </c>
      <c r="E14" s="43" t="s">
        <v>95</v>
      </c>
      <c r="F14" s="44" t="s">
        <v>49</v>
      </c>
    </row>
    <row r="15" spans="2:6" ht="49.5" customHeight="1" x14ac:dyDescent="0.3">
      <c r="B15" s="352" t="s">
        <v>123</v>
      </c>
      <c r="C15" s="352"/>
      <c r="D15" s="352"/>
      <c r="E15" s="352"/>
      <c r="F15" s="352"/>
    </row>
    <row r="16" spans="2:6" ht="27" customHeight="1" x14ac:dyDescent="0.3">
      <c r="B16" s="4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9"/>
  <sheetViews>
    <sheetView topLeftCell="A4" workbookViewId="0">
      <selection activeCell="B13" sqref="B13:B19"/>
    </sheetView>
  </sheetViews>
  <sheetFormatPr baseColWidth="10" defaultRowHeight="14.4" x14ac:dyDescent="0.3"/>
  <sheetData>
    <row r="2" spans="2:5" x14ac:dyDescent="0.3">
      <c r="B2" t="s">
        <v>22</v>
      </c>
      <c r="E2" t="s">
        <v>105</v>
      </c>
    </row>
    <row r="3" spans="2:5" x14ac:dyDescent="0.3">
      <c r="B3" t="s">
        <v>23</v>
      </c>
      <c r="E3" t="s">
        <v>104</v>
      </c>
    </row>
    <row r="4" spans="2:5" x14ac:dyDescent="0.3">
      <c r="B4" t="s">
        <v>108</v>
      </c>
      <c r="E4" t="s">
        <v>106</v>
      </c>
    </row>
    <row r="5" spans="2:5" x14ac:dyDescent="0.3">
      <c r="B5" t="s">
        <v>107</v>
      </c>
    </row>
    <row r="8" spans="2:5" x14ac:dyDescent="0.3">
      <c r="B8" t="s">
        <v>61</v>
      </c>
    </row>
    <row r="9" spans="2:5" x14ac:dyDescent="0.3">
      <c r="B9" t="s">
        <v>24</v>
      </c>
    </row>
    <row r="10" spans="2:5" x14ac:dyDescent="0.3">
      <c r="B10" t="s">
        <v>25</v>
      </c>
    </row>
    <row r="13" spans="2:5" x14ac:dyDescent="0.3">
      <c r="B13" t="s">
        <v>103</v>
      </c>
    </row>
    <row r="14" spans="2:5" x14ac:dyDescent="0.3">
      <c r="B14" t="s">
        <v>97</v>
      </c>
    </row>
    <row r="15" spans="2:5" x14ac:dyDescent="0.3">
      <c r="B15" t="s">
        <v>100</v>
      </c>
    </row>
    <row r="16" spans="2:5" x14ac:dyDescent="0.3">
      <c r="B16" t="s">
        <v>98</v>
      </c>
    </row>
    <row r="17" spans="2:2" x14ac:dyDescent="0.3">
      <c r="B17" t="s">
        <v>99</v>
      </c>
    </row>
    <row r="18" spans="2:2" x14ac:dyDescent="0.3">
      <c r="B18" t="s">
        <v>101</v>
      </c>
    </row>
    <row r="19" spans="2:2" x14ac:dyDescent="0.3">
      <c r="B19" t="s">
        <v>102</v>
      </c>
    </row>
  </sheetData>
  <sortState xmlns:xlrd2="http://schemas.microsoft.com/office/spreadsheetml/2017/richdata2" ref="B2:B5">
    <sortCondition ref="B2:B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21"/>
  <sheetViews>
    <sheetView workbookViewId="0">
      <selection activeCell="A19" sqref="A19"/>
    </sheetView>
  </sheetViews>
  <sheetFormatPr baseColWidth="10" defaultColWidth="11.44140625" defaultRowHeight="13.8" x14ac:dyDescent="0.3"/>
  <cols>
    <col min="1" max="1" width="32.88671875" style="1" customWidth="1"/>
    <col min="2" max="16384" width="11.44140625" style="1"/>
  </cols>
  <sheetData>
    <row r="3" spans="1:1" x14ac:dyDescent="0.3">
      <c r="A3" s="2" t="s">
        <v>7</v>
      </c>
    </row>
    <row r="4" spans="1:1" x14ac:dyDescent="0.3">
      <c r="A4" s="2" t="s">
        <v>8</v>
      </c>
    </row>
    <row r="5" spans="1:1" x14ac:dyDescent="0.3">
      <c r="A5" s="2" t="s">
        <v>9</v>
      </c>
    </row>
    <row r="6" spans="1:1" x14ac:dyDescent="0.3">
      <c r="A6" s="2" t="s">
        <v>5</v>
      </c>
    </row>
    <row r="7" spans="1:1" x14ac:dyDescent="0.3">
      <c r="A7" s="2" t="s">
        <v>4</v>
      </c>
    </row>
    <row r="8" spans="1:1" x14ac:dyDescent="0.3">
      <c r="A8" s="2" t="s">
        <v>12</v>
      </c>
    </row>
    <row r="9" spans="1:1" x14ac:dyDescent="0.3">
      <c r="A9" s="2" t="s">
        <v>13</v>
      </c>
    </row>
    <row r="10" spans="1:1" x14ac:dyDescent="0.3">
      <c r="A10" s="2" t="s">
        <v>15</v>
      </c>
    </row>
    <row r="11" spans="1:1" x14ac:dyDescent="0.3">
      <c r="A11" s="2" t="s">
        <v>16</v>
      </c>
    </row>
    <row r="12" spans="1:1" x14ac:dyDescent="0.3">
      <c r="A12" s="2" t="s">
        <v>18</v>
      </c>
    </row>
    <row r="13" spans="1:1" x14ac:dyDescent="0.3">
      <c r="A13" s="2" t="s">
        <v>19</v>
      </c>
    </row>
    <row r="14" spans="1:1" x14ac:dyDescent="0.3">
      <c r="A14" s="2" t="s">
        <v>20</v>
      </c>
    </row>
    <row r="16" spans="1:1" x14ac:dyDescent="0.3">
      <c r="A16" s="2" t="s">
        <v>21</v>
      </c>
    </row>
    <row r="17" spans="1:1" x14ac:dyDescent="0.3">
      <c r="A17" s="2" t="s">
        <v>22</v>
      </c>
    </row>
    <row r="18" spans="1:1" x14ac:dyDescent="0.3">
      <c r="A18" s="2" t="s">
        <v>23</v>
      </c>
    </row>
    <row r="20" spans="1:1" x14ac:dyDescent="0.3">
      <c r="A20" s="2" t="s">
        <v>24</v>
      </c>
    </row>
    <row r="21" spans="1:1" x14ac:dyDescent="0.3">
      <c r="A21" s="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 DE CORRUPCIÒN</vt:lpstr>
      <vt:lpstr>Criterios</vt:lpstr>
      <vt:lpstr>Matriz Calor </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Carolina</cp:lastModifiedBy>
  <cp:lastPrinted>2020-05-13T01:12:22Z</cp:lastPrinted>
  <dcterms:created xsi:type="dcterms:W3CDTF">2020-03-24T23:12:47Z</dcterms:created>
  <dcterms:modified xsi:type="dcterms:W3CDTF">2022-05-13T19:43:27Z</dcterms:modified>
</cp:coreProperties>
</file>